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showInkAnnotation="0" autoCompressPictures="0"/>
  <bookViews>
    <workbookView xWindow="0" yWindow="0" windowWidth="51120" windowHeight="26180" tabRatio="500" activeTab="10"/>
  </bookViews>
  <sheets>
    <sheet name="NH3" sheetId="1" r:id="rId1"/>
    <sheet name="N2O" sheetId="2" r:id="rId2"/>
    <sheet name="NOX" sheetId="8" r:id="rId3"/>
    <sheet name="NO" sheetId="9" r:id="rId4"/>
    <sheet name="NO2" sheetId="10" r:id="rId5"/>
    <sheet name="CoverTypes" sheetId="6" r:id="rId6"/>
    <sheet name="Chart1" sheetId="4" r:id="rId7"/>
    <sheet name="NO,NO2,NOX" sheetId="3" r:id="rId8"/>
    <sheet name="Pubs" sheetId="5" r:id="rId9"/>
    <sheet name="Sheet1" sheetId="7" r:id="rId10"/>
    <sheet name="NitrogenSpecies Refs" sheetId="11" r:id="rId11"/>
  </sheets>
  <definedNames>
    <definedName name="_xlnm._FilterDatabase" localSheetId="5" hidden="1">CoverTypes!$A$1:$C$374</definedName>
    <definedName name="_xlnm.Print_Area" localSheetId="7">'NO,NO2,NOX'!$A$1:$O$142</definedName>
    <definedName name="_xlnm.Print_Area" localSheetId="9">Sheet1!$A$1:$B$131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G89" i="1" l="1"/>
  <c r="AF89" i="1"/>
  <c r="AE89" i="1"/>
  <c r="AD89" i="1"/>
  <c r="AC89" i="1"/>
  <c r="AB89" i="1"/>
  <c r="AG27" i="1"/>
  <c r="AF27" i="1"/>
  <c r="AE27" i="1"/>
  <c r="AD27" i="1"/>
  <c r="AC27" i="1"/>
  <c r="AB27" i="1"/>
  <c r="AG60" i="10"/>
  <c r="AF60" i="10"/>
  <c r="AE60" i="10"/>
  <c r="AD60" i="10"/>
  <c r="AC60" i="10"/>
  <c r="AB60" i="10"/>
  <c r="AA59" i="10"/>
  <c r="AG57" i="10"/>
  <c r="AF57" i="10"/>
  <c r="AE57" i="10"/>
  <c r="AD57" i="10"/>
  <c r="AC57" i="10"/>
  <c r="AB57" i="10"/>
  <c r="AA56" i="10"/>
  <c r="AG54" i="10"/>
  <c r="AF54" i="10"/>
  <c r="AE54" i="10"/>
  <c r="AD54" i="10"/>
  <c r="AC54" i="10"/>
  <c r="AB54" i="10"/>
  <c r="AA53" i="10"/>
  <c r="AG37" i="10"/>
  <c r="AF37" i="10"/>
  <c r="AE37" i="10"/>
  <c r="AD37" i="10"/>
  <c r="AC37" i="10"/>
  <c r="AB37" i="10"/>
  <c r="AA36" i="10"/>
  <c r="AG31" i="10"/>
  <c r="AF31" i="10"/>
  <c r="AE31" i="10"/>
  <c r="AD31" i="10"/>
  <c r="AC31" i="10"/>
  <c r="AB31" i="10"/>
  <c r="AA30" i="10"/>
  <c r="AG12" i="10"/>
  <c r="AF12" i="10"/>
  <c r="AE12" i="10"/>
  <c r="AD12" i="10"/>
  <c r="AC12" i="10"/>
  <c r="AB12" i="10"/>
  <c r="AA11" i="10"/>
  <c r="AG10" i="10"/>
  <c r="AF10" i="10"/>
  <c r="AE10" i="10"/>
  <c r="AD10" i="10"/>
  <c r="AC10" i="10"/>
  <c r="AB10" i="10"/>
  <c r="AA9" i="10"/>
  <c r="AG8" i="10"/>
  <c r="AF8" i="10"/>
  <c r="AE8" i="10"/>
  <c r="AD8" i="10"/>
  <c r="AC8" i="10"/>
  <c r="AB8" i="10"/>
  <c r="AA7" i="10"/>
  <c r="AG4" i="10"/>
  <c r="AB4" i="10"/>
  <c r="AA3" i="10"/>
  <c r="AG84" i="9"/>
  <c r="AF84" i="9"/>
  <c r="AE84" i="9"/>
  <c r="AD84" i="9"/>
  <c r="AC84" i="9"/>
  <c r="AB84" i="9"/>
  <c r="AA83" i="9"/>
  <c r="AG81" i="9"/>
  <c r="AF81" i="9"/>
  <c r="AE81" i="9"/>
  <c r="AD81" i="9"/>
  <c r="AC81" i="9"/>
  <c r="AB81" i="9"/>
  <c r="AA80" i="9"/>
  <c r="AG75" i="9"/>
  <c r="AF75" i="9"/>
  <c r="AE75" i="9"/>
  <c r="AD75" i="9"/>
  <c r="AC75" i="9"/>
  <c r="AB75" i="9"/>
  <c r="AA74" i="9"/>
  <c r="AG51" i="9"/>
  <c r="AF51" i="9"/>
  <c r="AE51" i="9"/>
  <c r="AD51" i="9"/>
  <c r="AC51" i="9"/>
  <c r="AB51" i="9"/>
  <c r="AA50" i="9"/>
  <c r="AG42" i="9"/>
  <c r="AF42" i="9"/>
  <c r="AE42" i="9"/>
  <c r="AD42" i="9"/>
  <c r="AC42" i="9"/>
  <c r="AB42" i="9"/>
  <c r="AA41" i="9"/>
  <c r="AG20" i="9"/>
  <c r="AF20" i="9"/>
  <c r="AE20" i="9"/>
  <c r="AD20" i="9"/>
  <c r="AC20" i="9"/>
  <c r="AB20" i="9"/>
  <c r="AA19" i="9"/>
  <c r="AG16" i="9"/>
  <c r="AF16" i="9"/>
  <c r="AE16" i="9"/>
  <c r="AD16" i="9"/>
  <c r="AC16" i="9"/>
  <c r="AB16" i="9"/>
  <c r="AA15" i="9"/>
  <c r="AG10" i="9"/>
  <c r="AF10" i="9"/>
  <c r="AE10" i="9"/>
  <c r="AD10" i="9"/>
  <c r="AC10" i="9"/>
  <c r="AB10" i="9"/>
  <c r="AA9" i="9"/>
  <c r="AG8" i="9"/>
  <c r="AB8" i="9"/>
  <c r="AA3" i="9"/>
  <c r="AG4" i="9"/>
  <c r="AF4" i="9"/>
  <c r="AE4" i="9"/>
  <c r="AD4" i="9"/>
  <c r="AC4" i="9"/>
  <c r="AB4" i="9"/>
  <c r="AE73" i="8"/>
  <c r="AD73" i="8"/>
  <c r="AC73" i="8"/>
  <c r="AB73" i="8"/>
  <c r="AA73" i="8"/>
  <c r="Z73" i="8"/>
  <c r="Y72" i="8"/>
  <c r="AE70" i="8"/>
  <c r="AD70" i="8"/>
  <c r="AC70" i="8"/>
  <c r="AB70" i="8"/>
  <c r="AA70" i="8"/>
  <c r="Z70" i="8"/>
  <c r="Y69" i="8"/>
  <c r="AE49" i="8"/>
  <c r="AD49" i="8"/>
  <c r="AC49" i="8"/>
  <c r="AB49" i="8"/>
  <c r="AA49" i="8"/>
  <c r="Z49" i="8"/>
  <c r="Y48" i="8"/>
  <c r="AE42" i="8"/>
  <c r="AD42" i="8"/>
  <c r="AC42" i="8"/>
  <c r="AB42" i="8"/>
  <c r="AA42" i="8"/>
  <c r="Z42" i="8"/>
  <c r="Y41" i="8"/>
  <c r="Y3" i="8"/>
  <c r="AE19" i="8"/>
  <c r="AD19" i="8"/>
  <c r="AC19" i="8"/>
  <c r="AB19" i="8"/>
  <c r="AA19" i="8"/>
  <c r="Z19" i="8"/>
  <c r="Y18" i="8"/>
  <c r="AE16" i="8"/>
  <c r="AD16" i="8"/>
  <c r="AC16" i="8"/>
  <c r="AB16" i="8"/>
  <c r="AA16" i="8"/>
  <c r="Z16" i="8"/>
  <c r="Y15" i="8"/>
  <c r="AE11" i="8"/>
  <c r="AD11" i="8"/>
  <c r="AC11" i="8"/>
  <c r="AB11" i="8"/>
  <c r="AA11" i="8"/>
  <c r="Z11" i="8"/>
  <c r="Y10" i="8"/>
  <c r="AE4" i="8"/>
  <c r="AD4" i="8"/>
  <c r="AC4" i="8"/>
  <c r="AB4" i="8"/>
  <c r="AA4" i="8"/>
  <c r="Z4" i="8"/>
  <c r="X54" i="10"/>
  <c r="Z54" i="10"/>
  <c r="X42" i="10"/>
  <c r="Z42" i="10"/>
  <c r="X51" i="10"/>
  <c r="Z51" i="10"/>
  <c r="X46" i="10"/>
  <c r="Z46" i="10"/>
  <c r="X77" i="10"/>
  <c r="Z77" i="10"/>
  <c r="R55" i="10"/>
  <c r="X55" i="10"/>
  <c r="Z55" i="10"/>
  <c r="R44" i="10"/>
  <c r="X44" i="10"/>
  <c r="Z44" i="10"/>
  <c r="R52" i="10"/>
  <c r="X52" i="10"/>
  <c r="Z52" i="10"/>
  <c r="R47" i="10"/>
  <c r="X47" i="10"/>
  <c r="Z47" i="10"/>
  <c r="R78" i="10"/>
  <c r="X78" i="10"/>
  <c r="Z78" i="10"/>
  <c r="X20" i="10"/>
  <c r="Z20" i="10"/>
  <c r="X14" i="10"/>
  <c r="Z14" i="10"/>
  <c r="X16" i="10"/>
  <c r="Z16" i="10"/>
  <c r="X18" i="10"/>
  <c r="Z18" i="10"/>
  <c r="X19" i="10"/>
  <c r="Z19" i="10"/>
  <c r="X21" i="10"/>
  <c r="Z21" i="10"/>
  <c r="R53" i="10"/>
  <c r="X53" i="10"/>
  <c r="Z53" i="10"/>
  <c r="R41" i="10"/>
  <c r="X41" i="10"/>
  <c r="Z41" i="10"/>
  <c r="R50" i="10"/>
  <c r="X50" i="10"/>
  <c r="Z50" i="10"/>
  <c r="R45" i="10"/>
  <c r="X45" i="10"/>
  <c r="Z45" i="10"/>
  <c r="R76" i="10"/>
  <c r="X76" i="10"/>
  <c r="Z76" i="10"/>
  <c r="X3" i="10"/>
  <c r="Z3" i="10"/>
  <c r="X36" i="10"/>
  <c r="Z36" i="10"/>
  <c r="X6" i="10"/>
  <c r="Z6" i="10"/>
  <c r="X17" i="10"/>
  <c r="Z17" i="10"/>
  <c r="X60" i="10"/>
  <c r="Z60" i="10"/>
  <c r="X35" i="10"/>
  <c r="Z35" i="10"/>
  <c r="X4" i="10"/>
  <c r="Z4" i="10"/>
  <c r="X39" i="10"/>
  <c r="Z39" i="10"/>
  <c r="X22" i="10"/>
  <c r="Z22" i="10"/>
  <c r="X85" i="10"/>
  <c r="Z85" i="10"/>
  <c r="X31" i="10"/>
  <c r="Z31" i="10"/>
  <c r="X84" i="10"/>
  <c r="Z84" i="10"/>
  <c r="X64" i="10"/>
  <c r="Z64" i="10"/>
  <c r="X75" i="10"/>
  <c r="Z75" i="10"/>
  <c r="X67" i="10"/>
  <c r="Z67" i="10"/>
  <c r="X86" i="10"/>
  <c r="Z86" i="10"/>
  <c r="X40" i="10"/>
  <c r="Z40" i="10"/>
  <c r="X38" i="10"/>
  <c r="Z38" i="10"/>
  <c r="X62" i="10"/>
  <c r="Z62" i="10"/>
  <c r="X74" i="10"/>
  <c r="Z74" i="10"/>
  <c r="X79" i="10"/>
  <c r="Z79" i="10"/>
  <c r="X56" i="10"/>
  <c r="Z56" i="10"/>
  <c r="X11" i="10"/>
  <c r="Z11" i="10"/>
  <c r="X66" i="10"/>
  <c r="Z66" i="10"/>
  <c r="X49" i="10"/>
  <c r="Z49" i="10"/>
  <c r="X48" i="10"/>
  <c r="Z48" i="10"/>
  <c r="X29" i="10"/>
  <c r="Z29" i="10"/>
  <c r="X73" i="10"/>
  <c r="Z73" i="10"/>
  <c r="X12" i="10"/>
  <c r="Z12" i="10"/>
  <c r="X23" i="10"/>
  <c r="Z23" i="10"/>
  <c r="X70" i="10"/>
  <c r="Z70" i="10"/>
  <c r="X69" i="10"/>
  <c r="Z69" i="10"/>
  <c r="X68" i="10"/>
  <c r="Z68" i="10"/>
  <c r="X37" i="10"/>
  <c r="Z37" i="10"/>
  <c r="X32" i="10"/>
  <c r="Z32" i="10"/>
  <c r="X8" i="10"/>
  <c r="Z8" i="10"/>
  <c r="X59" i="10"/>
  <c r="Z59" i="10"/>
  <c r="X7" i="10"/>
  <c r="Z7" i="10"/>
  <c r="X13" i="10"/>
  <c r="Z13" i="10"/>
  <c r="X10" i="10"/>
  <c r="Z10" i="10"/>
  <c r="X43" i="10"/>
  <c r="Z43" i="10"/>
  <c r="X80" i="10"/>
  <c r="Z80" i="10"/>
  <c r="X61" i="10"/>
  <c r="Z61" i="10"/>
  <c r="X9" i="10"/>
  <c r="Z9" i="10"/>
  <c r="X65" i="10"/>
  <c r="Z65" i="10"/>
  <c r="X57" i="10"/>
  <c r="Z57" i="10"/>
  <c r="X63" i="10"/>
  <c r="Z63" i="10"/>
  <c r="X71" i="10"/>
  <c r="Z71" i="10"/>
  <c r="X58" i="10"/>
  <c r="Z58" i="10"/>
  <c r="X72" i="10"/>
  <c r="Z72" i="10"/>
  <c r="X5" i="10"/>
  <c r="Z5" i="10"/>
  <c r="X2" i="10"/>
  <c r="Z2" i="10"/>
  <c r="X30" i="10"/>
  <c r="Z30" i="10"/>
  <c r="X34" i="10"/>
  <c r="Z34" i="10"/>
  <c r="X15" i="10"/>
  <c r="Z15" i="10"/>
  <c r="X26" i="10"/>
  <c r="Z26" i="10"/>
  <c r="X33" i="10"/>
  <c r="Z33" i="10"/>
  <c r="X25" i="10"/>
  <c r="Z25" i="10"/>
  <c r="X27" i="10"/>
  <c r="Z27" i="10"/>
  <c r="X28" i="10"/>
  <c r="Z28" i="10"/>
  <c r="X24" i="10"/>
  <c r="Z24" i="10"/>
  <c r="Y55" i="10"/>
  <c r="Y44" i="10"/>
  <c r="Y52" i="10"/>
  <c r="Y47" i="10"/>
  <c r="Y78" i="10"/>
  <c r="Y53" i="10"/>
  <c r="Y41" i="10"/>
  <c r="Y50" i="10"/>
  <c r="Y45" i="10"/>
  <c r="Y76" i="10"/>
  <c r="U55" i="10"/>
  <c r="U44" i="10"/>
  <c r="U52" i="10"/>
  <c r="U47" i="10"/>
  <c r="U78" i="10"/>
  <c r="U53" i="10"/>
  <c r="U41" i="10"/>
  <c r="U50" i="10"/>
  <c r="U45" i="10"/>
  <c r="U76" i="10"/>
  <c r="U66" i="9"/>
  <c r="U79" i="9"/>
  <c r="U61" i="9"/>
  <c r="U72" i="9"/>
  <c r="U102" i="9"/>
  <c r="U65" i="9"/>
  <c r="U74" i="9"/>
  <c r="U58" i="9"/>
  <c r="U70" i="9"/>
  <c r="U99" i="9"/>
  <c r="R66" i="9"/>
  <c r="R79" i="9"/>
  <c r="R61" i="9"/>
  <c r="R72" i="9"/>
  <c r="R102" i="9"/>
  <c r="R65" i="9"/>
  <c r="R74" i="9"/>
  <c r="R58" i="9"/>
  <c r="R70" i="9"/>
  <c r="R99" i="9"/>
  <c r="X2" i="9"/>
  <c r="Z2" i="9"/>
  <c r="X43" i="9"/>
  <c r="Z43" i="9"/>
  <c r="X15" i="9"/>
  <c r="Z15" i="9"/>
  <c r="X47" i="9"/>
  <c r="Z47" i="9"/>
  <c r="X48" i="9"/>
  <c r="Z48" i="9"/>
  <c r="X13" i="9"/>
  <c r="Z13" i="9"/>
  <c r="X41" i="9"/>
  <c r="Z41" i="9"/>
  <c r="X42" i="9"/>
  <c r="Z42" i="9"/>
  <c r="X22" i="9"/>
  <c r="Z22" i="9"/>
  <c r="X44" i="9"/>
  <c r="Z44" i="9"/>
  <c r="X17" i="9"/>
  <c r="Z17" i="9"/>
  <c r="X14" i="9"/>
  <c r="Z14" i="9"/>
  <c r="X101" i="9"/>
  <c r="Z101" i="9"/>
  <c r="X33" i="9"/>
  <c r="Z33" i="9"/>
  <c r="X97" i="9"/>
  <c r="Z97" i="9"/>
  <c r="X29" i="9"/>
  <c r="Z29" i="9"/>
  <c r="X84" i="9"/>
  <c r="Z84" i="9"/>
  <c r="X3" i="9"/>
  <c r="Z3" i="9"/>
  <c r="X50" i="9"/>
  <c r="Z50" i="9"/>
  <c r="X12" i="9"/>
  <c r="Z12" i="9"/>
  <c r="X49" i="9"/>
  <c r="Z49" i="9"/>
  <c r="X9" i="9"/>
  <c r="Z9" i="9"/>
  <c r="X7" i="9"/>
  <c r="Z7" i="9"/>
  <c r="X24" i="9"/>
  <c r="Z24" i="9"/>
  <c r="X45" i="9"/>
  <c r="Z45" i="9"/>
  <c r="X82" i="9"/>
  <c r="Z82" i="9"/>
  <c r="X81" i="9"/>
  <c r="Z81" i="9"/>
  <c r="X104" i="9"/>
  <c r="Z104" i="9"/>
  <c r="X85" i="9"/>
  <c r="Z85" i="9"/>
  <c r="X109" i="9"/>
  <c r="Z109" i="9"/>
  <c r="X83" i="9"/>
  <c r="Z83" i="9"/>
  <c r="X32" i="9"/>
  <c r="Z32" i="9"/>
  <c r="X89" i="9"/>
  <c r="Z89" i="9"/>
  <c r="X87" i="9"/>
  <c r="Z87" i="9"/>
  <c r="X8" i="9"/>
  <c r="Z8" i="9"/>
  <c r="X94" i="9"/>
  <c r="Z94" i="9"/>
  <c r="X11" i="9"/>
  <c r="Z11" i="9"/>
  <c r="X103" i="9"/>
  <c r="Z103" i="9"/>
  <c r="X107" i="9"/>
  <c r="Z107" i="9"/>
  <c r="X34" i="9"/>
  <c r="Z34" i="9"/>
  <c r="X95" i="9"/>
  <c r="Z95" i="9"/>
  <c r="X60" i="9"/>
  <c r="Z60" i="9"/>
  <c r="X5" i="9"/>
  <c r="Z5" i="9"/>
  <c r="X10" i="9"/>
  <c r="Z10" i="9"/>
  <c r="X63" i="9"/>
  <c r="Z63" i="9"/>
  <c r="X77" i="9"/>
  <c r="Z77" i="9"/>
  <c r="X21" i="9"/>
  <c r="Z21" i="9"/>
  <c r="X18" i="9"/>
  <c r="Z18" i="9"/>
  <c r="X54" i="9"/>
  <c r="Z54" i="9"/>
  <c r="X75" i="9"/>
  <c r="Z75" i="9"/>
  <c r="X91" i="9"/>
  <c r="Z91" i="9"/>
  <c r="X86" i="9"/>
  <c r="Z86" i="9"/>
  <c r="X51" i="9"/>
  <c r="Z51" i="9"/>
  <c r="X4" i="9"/>
  <c r="Z4" i="9"/>
  <c r="X62" i="9"/>
  <c r="Z62" i="9"/>
  <c r="X31" i="9"/>
  <c r="Z31" i="9"/>
  <c r="X56" i="9"/>
  <c r="Z56" i="9"/>
  <c r="X76" i="9"/>
  <c r="Z76" i="9"/>
  <c r="X98" i="9"/>
  <c r="Z98" i="9"/>
  <c r="X16" i="9"/>
  <c r="Z16" i="9"/>
  <c r="X88" i="9"/>
  <c r="Z88" i="9"/>
  <c r="X20" i="9"/>
  <c r="Z20" i="9"/>
  <c r="X46" i="9"/>
  <c r="Z46" i="9"/>
  <c r="X36" i="9"/>
  <c r="Z36" i="9"/>
  <c r="X93" i="9"/>
  <c r="Z93" i="9"/>
  <c r="X90" i="9"/>
  <c r="Z90" i="9"/>
  <c r="X30" i="9"/>
  <c r="Z30" i="9"/>
  <c r="X57" i="9"/>
  <c r="Z57" i="9"/>
  <c r="X80" i="9"/>
  <c r="Z80" i="9"/>
  <c r="X19" i="9"/>
  <c r="Z19" i="9"/>
  <c r="X108" i="9"/>
  <c r="Z108" i="9"/>
  <c r="X6" i="9"/>
  <c r="Z6" i="9"/>
  <c r="X96" i="9"/>
  <c r="Z96" i="9"/>
  <c r="X69" i="9"/>
  <c r="Z69" i="9"/>
  <c r="X23" i="9"/>
  <c r="Z23" i="9"/>
  <c r="X68" i="9"/>
  <c r="Z68" i="9"/>
  <c r="X92" i="9"/>
  <c r="Z92" i="9"/>
  <c r="X55" i="9"/>
  <c r="Z55" i="9"/>
  <c r="X35" i="9"/>
  <c r="Z35" i="9"/>
  <c r="X27" i="9"/>
  <c r="Z27" i="9"/>
  <c r="X28" i="9"/>
  <c r="Z28" i="9"/>
  <c r="X25" i="9"/>
  <c r="Z25" i="9"/>
  <c r="X26" i="9"/>
  <c r="Z26" i="9"/>
  <c r="U40" i="9"/>
  <c r="X40" i="9"/>
  <c r="Z40" i="9"/>
  <c r="X73" i="9"/>
  <c r="Z73" i="9"/>
  <c r="U39" i="9"/>
  <c r="X39" i="9"/>
  <c r="Z39" i="9"/>
  <c r="X66" i="9"/>
  <c r="Z66" i="9"/>
  <c r="X79" i="9"/>
  <c r="Z79" i="9"/>
  <c r="X61" i="9"/>
  <c r="Z61" i="9"/>
  <c r="X72" i="9"/>
  <c r="Z72" i="9"/>
  <c r="X102" i="9"/>
  <c r="Z102" i="9"/>
  <c r="X65" i="9"/>
  <c r="Z65" i="9"/>
  <c r="X74" i="9"/>
  <c r="Z74" i="9"/>
  <c r="X58" i="9"/>
  <c r="Z58" i="9"/>
  <c r="X70" i="9"/>
  <c r="Z70" i="9"/>
  <c r="X99" i="9"/>
  <c r="Z99" i="9"/>
  <c r="X64" i="9"/>
  <c r="Z64" i="9"/>
  <c r="X78" i="9"/>
  <c r="Z78" i="9"/>
  <c r="X59" i="9"/>
  <c r="Z59" i="9"/>
  <c r="X71" i="9"/>
  <c r="Z71" i="9"/>
  <c r="X100" i="9"/>
  <c r="Z100" i="9"/>
  <c r="X53" i="9"/>
  <c r="Z53" i="9"/>
  <c r="U38" i="9"/>
  <c r="X38" i="9"/>
  <c r="Z38" i="9"/>
  <c r="U37" i="9"/>
  <c r="X37" i="9"/>
  <c r="Z37" i="9"/>
  <c r="X67" i="9"/>
  <c r="X52" i="9"/>
  <c r="Y66" i="9"/>
  <c r="Y79" i="9"/>
  <c r="Y61" i="9"/>
  <c r="Y72" i="9"/>
  <c r="Y102" i="9"/>
  <c r="Y65" i="9"/>
  <c r="Y74" i="9"/>
  <c r="Y58" i="9"/>
  <c r="Y70" i="9"/>
  <c r="Y99" i="9"/>
  <c r="W73" i="9"/>
  <c r="Y73" i="9"/>
  <c r="V53" i="9"/>
  <c r="Y53" i="9"/>
  <c r="V67" i="9"/>
  <c r="Y67" i="9"/>
  <c r="V52" i="9"/>
  <c r="Y52" i="9"/>
  <c r="V2" i="8"/>
  <c r="X2" i="8"/>
  <c r="V49" i="8"/>
  <c r="X49" i="8"/>
  <c r="V79" i="8"/>
  <c r="X79" i="8"/>
  <c r="V52" i="8"/>
  <c r="X52" i="8"/>
  <c r="V81" i="8"/>
  <c r="X81" i="8"/>
  <c r="V43" i="8"/>
  <c r="X43" i="8"/>
  <c r="V58" i="8"/>
  <c r="X58" i="8"/>
  <c r="V46" i="8"/>
  <c r="X46" i="8"/>
  <c r="V88" i="8"/>
  <c r="X88" i="8"/>
  <c r="V48" i="8"/>
  <c r="X48" i="8"/>
  <c r="V47" i="8"/>
  <c r="X47" i="8"/>
  <c r="V96" i="8"/>
  <c r="X96" i="8"/>
  <c r="U27" i="8"/>
  <c r="V27" i="8"/>
  <c r="X27" i="8"/>
  <c r="V89" i="8"/>
  <c r="X89" i="8"/>
  <c r="V87" i="8"/>
  <c r="X87" i="8"/>
  <c r="V90" i="8"/>
  <c r="X90" i="8"/>
  <c r="V20" i="8"/>
  <c r="X20" i="8"/>
  <c r="V14" i="8"/>
  <c r="X14" i="8"/>
  <c r="V42" i="8"/>
  <c r="X42" i="8"/>
  <c r="V95" i="8"/>
  <c r="X95" i="8"/>
  <c r="V11" i="8"/>
  <c r="X11" i="8"/>
  <c r="V4" i="8"/>
  <c r="X4" i="8"/>
  <c r="V91" i="8"/>
  <c r="X91" i="8"/>
  <c r="V69" i="8"/>
  <c r="X69" i="8"/>
  <c r="V23" i="8"/>
  <c r="X23" i="8"/>
  <c r="V75" i="8"/>
  <c r="X75" i="8"/>
  <c r="V73" i="8"/>
  <c r="X73" i="8"/>
  <c r="V7" i="8"/>
  <c r="X7" i="8"/>
  <c r="V70" i="8"/>
  <c r="X70" i="8"/>
  <c r="V72" i="8"/>
  <c r="X72" i="8"/>
  <c r="V71" i="8"/>
  <c r="X71" i="8"/>
  <c r="V93" i="8"/>
  <c r="X93" i="8"/>
  <c r="V10" i="8"/>
  <c r="X10" i="8"/>
  <c r="V16" i="8"/>
  <c r="X16" i="8"/>
  <c r="V13" i="8"/>
  <c r="X13" i="8"/>
  <c r="V53" i="8"/>
  <c r="X53" i="8"/>
  <c r="V51" i="8"/>
  <c r="X51" i="8"/>
  <c r="V94" i="8"/>
  <c r="X94" i="8"/>
  <c r="V32" i="8"/>
  <c r="X32" i="8"/>
  <c r="V74" i="8"/>
  <c r="X74" i="8"/>
  <c r="V30" i="8"/>
  <c r="X30" i="8"/>
  <c r="V45" i="8"/>
  <c r="X45" i="8"/>
  <c r="V29" i="8"/>
  <c r="X29" i="8"/>
  <c r="V50" i="8"/>
  <c r="X50" i="8"/>
  <c r="V78" i="8"/>
  <c r="X78" i="8"/>
  <c r="V41" i="8"/>
  <c r="X41" i="8"/>
  <c r="V76" i="8"/>
  <c r="X76" i="8"/>
  <c r="V12" i="8"/>
  <c r="X12" i="8"/>
  <c r="V77" i="8"/>
  <c r="X77" i="8"/>
  <c r="V57" i="8"/>
  <c r="X57" i="8"/>
  <c r="V86" i="8"/>
  <c r="X86" i="8"/>
  <c r="V66" i="8"/>
  <c r="X66" i="8"/>
  <c r="V92" i="8"/>
  <c r="X92" i="8"/>
  <c r="V55" i="8"/>
  <c r="X55" i="8"/>
  <c r="V38" i="8"/>
  <c r="X38" i="8"/>
  <c r="V17" i="8"/>
  <c r="X17" i="8"/>
  <c r="V5" i="8"/>
  <c r="X5" i="8"/>
  <c r="V31" i="8"/>
  <c r="X31" i="8"/>
  <c r="V85" i="8"/>
  <c r="X85" i="8"/>
  <c r="V84" i="8"/>
  <c r="X84" i="8"/>
  <c r="V67" i="8"/>
  <c r="X67" i="8"/>
  <c r="V60" i="8"/>
  <c r="X60" i="8"/>
  <c r="V83" i="8"/>
  <c r="X83" i="8"/>
  <c r="V19" i="8"/>
  <c r="X19" i="8"/>
  <c r="V59" i="8"/>
  <c r="X59" i="8"/>
  <c r="V44" i="8"/>
  <c r="X44" i="8"/>
  <c r="V65" i="8"/>
  <c r="X65" i="8"/>
  <c r="V64" i="8"/>
  <c r="X64" i="8"/>
  <c r="V56" i="8"/>
  <c r="X56" i="8"/>
  <c r="V63" i="8"/>
  <c r="X63" i="8"/>
  <c r="V15" i="8"/>
  <c r="X15" i="8"/>
  <c r="U40" i="8"/>
  <c r="V40" i="8"/>
  <c r="X40" i="8"/>
  <c r="V8" i="8"/>
  <c r="X8" i="8"/>
  <c r="V35" i="8"/>
  <c r="X35" i="8"/>
  <c r="V62" i="8"/>
  <c r="X62" i="8"/>
  <c r="V28" i="8"/>
  <c r="X28" i="8"/>
  <c r="U26" i="8"/>
  <c r="V26" i="8"/>
  <c r="X26" i="8"/>
  <c r="V3" i="8"/>
  <c r="X3" i="8"/>
  <c r="V82" i="8"/>
  <c r="X82" i="8"/>
  <c r="V22" i="8"/>
  <c r="X22" i="8"/>
  <c r="V24" i="8"/>
  <c r="X24" i="8"/>
  <c r="V80" i="8"/>
  <c r="X80" i="8"/>
  <c r="V33" i="8"/>
  <c r="X33" i="8"/>
  <c r="V37" i="8"/>
  <c r="X37" i="8"/>
  <c r="U39" i="8"/>
  <c r="V39" i="8"/>
  <c r="X39" i="8"/>
  <c r="V61" i="8"/>
  <c r="X61" i="8"/>
  <c r="V34" i="8"/>
  <c r="X34" i="8"/>
  <c r="V6" i="8"/>
  <c r="X6" i="8"/>
  <c r="V36" i="8"/>
  <c r="X36" i="8"/>
  <c r="V21" i="8"/>
  <c r="X21" i="8"/>
  <c r="V9" i="8"/>
  <c r="X9" i="8"/>
  <c r="V18" i="8"/>
  <c r="X18" i="8"/>
  <c r="V54" i="8"/>
  <c r="X54" i="8"/>
  <c r="V25" i="8"/>
  <c r="X25" i="8"/>
  <c r="V68" i="8"/>
  <c r="X68" i="8"/>
  <c r="Y39" i="9"/>
  <c r="Y37" i="9"/>
  <c r="Y40" i="9"/>
  <c r="Y38" i="9"/>
  <c r="W67" i="8"/>
  <c r="W58" i="8"/>
  <c r="W48" i="8"/>
  <c r="W49" i="8"/>
  <c r="W96" i="8"/>
  <c r="W95" i="8"/>
  <c r="W92" i="8"/>
  <c r="W91" i="8"/>
  <c r="W94" i="8"/>
  <c r="W68" i="8"/>
  <c r="W90" i="8"/>
  <c r="W89" i="8"/>
  <c r="T5" i="2"/>
  <c r="T4" i="2"/>
  <c r="T6" i="2"/>
  <c r="T3" i="2"/>
  <c r="T2" i="2"/>
  <c r="S6" i="2"/>
  <c r="S5" i="2"/>
  <c r="S4" i="2"/>
  <c r="S3" i="2"/>
  <c r="S2" i="2"/>
  <c r="R6" i="2"/>
  <c r="R5" i="2"/>
  <c r="R4" i="2"/>
  <c r="R3" i="2"/>
  <c r="R2" i="2"/>
  <c r="AD142" i="3"/>
  <c r="AD141" i="3"/>
  <c r="AD140" i="3"/>
  <c r="AD139" i="3"/>
  <c r="AD138" i="3"/>
  <c r="AD137" i="3"/>
  <c r="AD136" i="3"/>
  <c r="AD135" i="3"/>
  <c r="AD134" i="3"/>
  <c r="AD133" i="3"/>
  <c r="AD132" i="3"/>
  <c r="AD131" i="3"/>
  <c r="AD130" i="3"/>
  <c r="AD129" i="3"/>
  <c r="AD128" i="3"/>
  <c r="AD127" i="3"/>
  <c r="AD126" i="3"/>
  <c r="AD125" i="3"/>
  <c r="AD124" i="3"/>
  <c r="AD123" i="3"/>
  <c r="AD122" i="3"/>
  <c r="AD121" i="3"/>
  <c r="AD120" i="3"/>
  <c r="AD119" i="3"/>
  <c r="AD118" i="3"/>
  <c r="AD117" i="3"/>
  <c r="AD116" i="3"/>
  <c r="AD115" i="3"/>
  <c r="AD114" i="3"/>
  <c r="AD113" i="3"/>
  <c r="AD112" i="3"/>
  <c r="AD111" i="3"/>
  <c r="AD110" i="3"/>
  <c r="AD109" i="3"/>
  <c r="AD108" i="3"/>
  <c r="AD107" i="3"/>
  <c r="AD106" i="3"/>
  <c r="AD105" i="3"/>
  <c r="AD104" i="3"/>
  <c r="AD103" i="3"/>
  <c r="AD102" i="3"/>
  <c r="AD101" i="3"/>
  <c r="AD100" i="3"/>
  <c r="AD99" i="3"/>
  <c r="AD98" i="3"/>
  <c r="AD97" i="3"/>
  <c r="AD96" i="3"/>
  <c r="AD95" i="3"/>
  <c r="AD94" i="3"/>
  <c r="AD93" i="3"/>
  <c r="AD92" i="3"/>
  <c r="AD91" i="3"/>
  <c r="AD90" i="3"/>
  <c r="AD89" i="3"/>
  <c r="AD88" i="3"/>
  <c r="AD87" i="3"/>
  <c r="AD86" i="3"/>
  <c r="AD85" i="3"/>
  <c r="AD84" i="3"/>
  <c r="AD83" i="3"/>
  <c r="AD82" i="3"/>
  <c r="AD81" i="3"/>
  <c r="AD80" i="3"/>
  <c r="AD79" i="3"/>
  <c r="AD78" i="3"/>
  <c r="AD77" i="3"/>
  <c r="AD76" i="3"/>
  <c r="AD75" i="3"/>
  <c r="AD74" i="3"/>
  <c r="AD73" i="3"/>
  <c r="AD72" i="3"/>
  <c r="AD71" i="3"/>
  <c r="AD70" i="3"/>
  <c r="AD69" i="3"/>
  <c r="AD68" i="3"/>
  <c r="AD67" i="3"/>
  <c r="AD66" i="3"/>
  <c r="AD65" i="3"/>
  <c r="AD64" i="3"/>
  <c r="AD63" i="3"/>
  <c r="AD62" i="3"/>
  <c r="AD61" i="3"/>
  <c r="AD60" i="3"/>
  <c r="AD59" i="3"/>
  <c r="AD58" i="3"/>
  <c r="AD57" i="3"/>
  <c r="AD56" i="3"/>
  <c r="AD55" i="3"/>
  <c r="AD54" i="3"/>
  <c r="AD53" i="3"/>
  <c r="AD52" i="3"/>
  <c r="AD51" i="3"/>
  <c r="AD50" i="3"/>
  <c r="AD49" i="3"/>
  <c r="AD48" i="3"/>
  <c r="AD47" i="3"/>
  <c r="AD46" i="3"/>
  <c r="AD45" i="3"/>
  <c r="AD44" i="3"/>
  <c r="AD43" i="3"/>
  <c r="AD42" i="3"/>
  <c r="AD41" i="3"/>
  <c r="AD40" i="3"/>
  <c r="AD39" i="3"/>
  <c r="AD38" i="3"/>
  <c r="AD37" i="3"/>
  <c r="AD36" i="3"/>
  <c r="AD35" i="3"/>
  <c r="AD34" i="3"/>
  <c r="AD33" i="3"/>
  <c r="AD32" i="3"/>
  <c r="AD31" i="3"/>
  <c r="AD30" i="3"/>
  <c r="AD29" i="3"/>
  <c r="AD28" i="3"/>
  <c r="AD27" i="3"/>
  <c r="AD26" i="3"/>
  <c r="AD25" i="3"/>
  <c r="AD24" i="3"/>
  <c r="AD23" i="3"/>
  <c r="AD22" i="3"/>
  <c r="AD21" i="3"/>
  <c r="AD20" i="3"/>
  <c r="AD19" i="3"/>
  <c r="AD18" i="3"/>
  <c r="AD17" i="3"/>
  <c r="AD16" i="3"/>
  <c r="AD15" i="3"/>
  <c r="AD14" i="3"/>
  <c r="AD13" i="3"/>
  <c r="AD12" i="3"/>
  <c r="AD11" i="3"/>
  <c r="AD10" i="3"/>
  <c r="AD9" i="3"/>
  <c r="AD8" i="3"/>
  <c r="AD7" i="3"/>
  <c r="AD6" i="3"/>
  <c r="AD5" i="3"/>
  <c r="AD4" i="3"/>
  <c r="AD3" i="3"/>
  <c r="AD2" i="3"/>
  <c r="Y118" i="1"/>
  <c r="AG91" i="1"/>
  <c r="Y98" i="1"/>
  <c r="Y99" i="1"/>
  <c r="Y100" i="1"/>
  <c r="Y106" i="1"/>
  <c r="Y107" i="1"/>
  <c r="Y108" i="1"/>
  <c r="Y109" i="1"/>
  <c r="Y112" i="1"/>
  <c r="AG90" i="1"/>
  <c r="AF91" i="1"/>
  <c r="AF90" i="1"/>
  <c r="AE91" i="1"/>
  <c r="AE90" i="1"/>
  <c r="AD91" i="1"/>
  <c r="AD90" i="1"/>
  <c r="AC91" i="1"/>
  <c r="AC90" i="1"/>
  <c r="AB91" i="1"/>
  <c r="AB90" i="1"/>
  <c r="AA88" i="1"/>
  <c r="AG85" i="1"/>
  <c r="AF85" i="1"/>
  <c r="AE85" i="1"/>
  <c r="AD85" i="1"/>
  <c r="AC85" i="1"/>
  <c r="AB85" i="1"/>
  <c r="AA84" i="1"/>
  <c r="AG82" i="1"/>
  <c r="AF82" i="1"/>
  <c r="AE82" i="1"/>
  <c r="AD82" i="1"/>
  <c r="AC82" i="1"/>
  <c r="AB82" i="1"/>
  <c r="AA81" i="1"/>
  <c r="AG78" i="1"/>
  <c r="AF78" i="1"/>
  <c r="AE78" i="1"/>
  <c r="AD78" i="1"/>
  <c r="AC78" i="1"/>
  <c r="AB78" i="1"/>
  <c r="AA77" i="1"/>
  <c r="AG63" i="1"/>
  <c r="AF63" i="1"/>
  <c r="AE63" i="1"/>
  <c r="AD63" i="1"/>
  <c r="AC63" i="1"/>
  <c r="AB63" i="1"/>
  <c r="AA62" i="1"/>
  <c r="AG58" i="1"/>
  <c r="AF58" i="1"/>
  <c r="AE58" i="1"/>
  <c r="AD58" i="1"/>
  <c r="AC58" i="1"/>
  <c r="AB58" i="1"/>
  <c r="AA57" i="1"/>
  <c r="AG29" i="1"/>
  <c r="AG28" i="1"/>
  <c r="AF29" i="1"/>
  <c r="AF28" i="1"/>
  <c r="AE29" i="1"/>
  <c r="AE28" i="1"/>
  <c r="AD29" i="1"/>
  <c r="AD28" i="1"/>
  <c r="AC29" i="1"/>
  <c r="AC28" i="1"/>
  <c r="AB29" i="1"/>
  <c r="AB28" i="1"/>
  <c r="AA26" i="1"/>
  <c r="AG23" i="1"/>
  <c r="AF23" i="1"/>
  <c r="AE23" i="1"/>
  <c r="AD23" i="1"/>
  <c r="AC23" i="1"/>
  <c r="AB23" i="1"/>
  <c r="AA22" i="1"/>
  <c r="AG17" i="1"/>
  <c r="AF17" i="1"/>
  <c r="AE17" i="1"/>
  <c r="AD17" i="1"/>
  <c r="AC17" i="1"/>
  <c r="AB17" i="1"/>
  <c r="AA16" i="1"/>
  <c r="AG11" i="1"/>
  <c r="AF11" i="1"/>
  <c r="AE11" i="1"/>
  <c r="AD11" i="1"/>
  <c r="AC11" i="1"/>
  <c r="AB11" i="1"/>
  <c r="AA10" i="1"/>
  <c r="AG4" i="1"/>
  <c r="AF4" i="1"/>
  <c r="AE4" i="1"/>
  <c r="AD4" i="1"/>
  <c r="AC4" i="1"/>
  <c r="AB4" i="1"/>
  <c r="AA3" i="1"/>
  <c r="X48" i="1"/>
  <c r="Z48" i="1"/>
  <c r="X30" i="1"/>
  <c r="Z30" i="1"/>
  <c r="X51" i="1"/>
  <c r="Z51" i="1"/>
  <c r="X26" i="1"/>
  <c r="Z26" i="1"/>
  <c r="X56" i="1"/>
  <c r="Z56" i="1"/>
  <c r="X27" i="1"/>
  <c r="Z27" i="1"/>
  <c r="X173" i="1"/>
  <c r="Z173" i="1"/>
  <c r="X15" i="1"/>
  <c r="Z15" i="1"/>
  <c r="X114" i="1"/>
  <c r="Z114" i="1"/>
  <c r="X171" i="1"/>
  <c r="Z171" i="1"/>
  <c r="X172" i="1"/>
  <c r="Z172" i="1"/>
  <c r="X2" i="1"/>
  <c r="Z2" i="1"/>
  <c r="X39" i="1"/>
  <c r="Z39" i="1"/>
  <c r="X90" i="1"/>
  <c r="Z90" i="1"/>
  <c r="X104" i="1"/>
  <c r="Z104" i="1"/>
  <c r="X24" i="1"/>
  <c r="Z24" i="1"/>
  <c r="X23" i="1"/>
  <c r="Z23" i="1"/>
  <c r="X117" i="1"/>
  <c r="Z117" i="1"/>
  <c r="X68" i="1"/>
  <c r="Z68" i="1"/>
  <c r="X67" i="1"/>
  <c r="Z67" i="1"/>
  <c r="X64" i="1"/>
  <c r="Z64" i="1"/>
  <c r="X62" i="1"/>
  <c r="Z62" i="1"/>
  <c r="X16" i="1"/>
  <c r="Z16" i="1"/>
  <c r="X33" i="1"/>
  <c r="Z33" i="1"/>
  <c r="X57" i="1"/>
  <c r="Z57" i="1"/>
  <c r="X21" i="1"/>
  <c r="Z21" i="1"/>
  <c r="X19" i="1"/>
  <c r="Z19" i="1"/>
  <c r="X58" i="1"/>
  <c r="Z58" i="1"/>
  <c r="X61" i="1"/>
  <c r="Z61" i="1"/>
  <c r="X59" i="1"/>
  <c r="Z59" i="1"/>
  <c r="X20" i="1"/>
  <c r="Z20" i="1"/>
  <c r="X116" i="1"/>
  <c r="Z116" i="1"/>
  <c r="X111" i="1"/>
  <c r="Z111" i="1"/>
  <c r="X113" i="1"/>
  <c r="Z113" i="1"/>
  <c r="X110" i="1"/>
  <c r="Z110" i="1"/>
  <c r="X8" i="1"/>
  <c r="Z8" i="1"/>
  <c r="X12" i="1"/>
  <c r="Z12" i="1"/>
  <c r="X4" i="1"/>
  <c r="Z4" i="1"/>
  <c r="X10" i="1"/>
  <c r="Z10" i="1"/>
  <c r="X49" i="1"/>
  <c r="Z49" i="1"/>
  <c r="X54" i="1"/>
  <c r="Z54" i="1"/>
  <c r="X42" i="1"/>
  <c r="Z42" i="1"/>
  <c r="X46" i="1"/>
  <c r="Z46" i="1"/>
  <c r="X38" i="1"/>
  <c r="Z38" i="1"/>
  <c r="X31" i="1"/>
  <c r="Z31" i="1"/>
  <c r="X29" i="1"/>
  <c r="Z29" i="1"/>
  <c r="X52" i="1"/>
  <c r="Z52" i="1"/>
  <c r="X50" i="1"/>
  <c r="Z50" i="1"/>
  <c r="X53" i="1"/>
  <c r="Z53" i="1"/>
  <c r="X35" i="1"/>
  <c r="Z35" i="1"/>
  <c r="X34" i="1"/>
  <c r="Z34" i="1"/>
  <c r="X28" i="1"/>
  <c r="Z28" i="1"/>
  <c r="X72" i="1"/>
  <c r="Z72" i="1"/>
  <c r="X115" i="1"/>
  <c r="Z115" i="1"/>
  <c r="X74" i="1"/>
  <c r="Z74" i="1"/>
  <c r="X103" i="1"/>
  <c r="Z103" i="1"/>
  <c r="X93" i="1"/>
  <c r="Z93" i="1"/>
  <c r="X95" i="1"/>
  <c r="Z95" i="1"/>
  <c r="X105" i="1"/>
  <c r="Z105" i="1"/>
  <c r="X87" i="1"/>
  <c r="Z87" i="1"/>
  <c r="X25" i="1"/>
  <c r="Z25" i="1"/>
  <c r="X60" i="1"/>
  <c r="Z60" i="1"/>
  <c r="X22" i="1"/>
  <c r="Z22" i="1"/>
  <c r="X18" i="1"/>
  <c r="Z18" i="1"/>
  <c r="X17" i="1"/>
  <c r="Z17" i="1"/>
  <c r="X73" i="1"/>
  <c r="Z73" i="1"/>
  <c r="X71" i="1"/>
  <c r="Z71" i="1"/>
  <c r="X44" i="1"/>
  <c r="Z44" i="1"/>
  <c r="X92" i="1"/>
  <c r="Z92" i="1"/>
  <c r="X94" i="1"/>
  <c r="Z94" i="1"/>
  <c r="X102" i="1"/>
  <c r="Z102" i="1"/>
  <c r="X101" i="1"/>
  <c r="Z101" i="1"/>
  <c r="X96" i="1"/>
  <c r="Z96" i="1"/>
  <c r="X97" i="1"/>
  <c r="Z97" i="1"/>
  <c r="X86" i="1"/>
  <c r="Z86" i="1"/>
  <c r="X85" i="1"/>
  <c r="Z85" i="1"/>
  <c r="X91" i="1"/>
  <c r="Z91" i="1"/>
  <c r="X11" i="1"/>
  <c r="Z11" i="1"/>
  <c r="X40" i="1"/>
  <c r="Z40" i="1"/>
  <c r="X78" i="1"/>
  <c r="Z78" i="1"/>
  <c r="X76" i="1"/>
  <c r="Z76" i="1"/>
  <c r="X75" i="1"/>
  <c r="Z75" i="1"/>
  <c r="X13" i="1"/>
  <c r="Z13" i="1"/>
  <c r="X9" i="1"/>
  <c r="Z9" i="1"/>
  <c r="X77" i="1"/>
  <c r="Z77" i="1"/>
  <c r="X80" i="1"/>
  <c r="Z80" i="1"/>
  <c r="X79" i="1"/>
  <c r="Z79" i="1"/>
  <c r="X84" i="1"/>
  <c r="Z84" i="1"/>
  <c r="X7" i="1"/>
  <c r="Z7" i="1"/>
  <c r="X6" i="1"/>
  <c r="Z6" i="1"/>
  <c r="X5" i="1"/>
  <c r="Z5" i="1"/>
  <c r="X14" i="1"/>
  <c r="Z14" i="1"/>
  <c r="X69" i="1"/>
  <c r="Z69" i="1"/>
  <c r="X70" i="1"/>
  <c r="Z70" i="1"/>
  <c r="X83" i="1"/>
  <c r="Z83" i="1"/>
  <c r="X82" i="1"/>
  <c r="Z82" i="1"/>
  <c r="X81" i="1"/>
  <c r="Z81" i="1"/>
  <c r="X63" i="1"/>
  <c r="Z63" i="1"/>
  <c r="X66" i="1"/>
  <c r="Z66" i="1"/>
  <c r="X65" i="1"/>
  <c r="Z65" i="1"/>
  <c r="X166" i="1"/>
  <c r="Z166" i="1"/>
  <c r="X89" i="1"/>
  <c r="Z89" i="1"/>
  <c r="X88" i="1"/>
  <c r="Z88" i="1"/>
  <c r="X32" i="1"/>
  <c r="Z32" i="1"/>
  <c r="X43" i="1"/>
  <c r="Z43" i="1"/>
  <c r="X36" i="1"/>
  <c r="Z36" i="1"/>
  <c r="X41" i="1"/>
  <c r="Z41" i="1"/>
  <c r="X37" i="1"/>
  <c r="Z37" i="1"/>
  <c r="X55" i="1"/>
  <c r="Z55" i="1"/>
  <c r="X47" i="1"/>
  <c r="Z47" i="1"/>
  <c r="X45" i="1"/>
  <c r="Z45" i="1"/>
  <c r="X3" i="1"/>
  <c r="Z3" i="1"/>
  <c r="X109" i="1"/>
  <c r="Z109" i="1"/>
  <c r="X98" i="1"/>
  <c r="Z98" i="1"/>
  <c r="X106" i="1"/>
  <c r="Z106" i="1"/>
  <c r="X108" i="1"/>
  <c r="Z108" i="1"/>
  <c r="X112" i="1"/>
  <c r="Z112" i="1"/>
  <c r="X100" i="1"/>
  <c r="Z100" i="1"/>
  <c r="X99" i="1"/>
  <c r="Z99" i="1"/>
  <c r="X107" i="1"/>
  <c r="Z107" i="1"/>
  <c r="X118" i="1"/>
  <c r="Z118" i="1"/>
  <c r="X139" i="3"/>
  <c r="X140" i="3"/>
  <c r="X141" i="3"/>
  <c r="X142" i="3"/>
  <c r="AB134" i="3"/>
  <c r="AB133" i="3"/>
  <c r="AB136" i="3"/>
  <c r="AB135" i="3"/>
  <c r="V134" i="3"/>
  <c r="V135" i="3"/>
  <c r="V133" i="3"/>
  <c r="W136" i="3"/>
  <c r="AB103" i="3"/>
  <c r="AB102" i="3"/>
  <c r="AB101" i="3"/>
  <c r="AB100" i="3"/>
  <c r="AB97" i="3"/>
  <c r="AB96" i="3"/>
  <c r="AB99" i="3"/>
  <c r="AB98" i="3"/>
  <c r="AB153" i="3"/>
  <c r="AB184" i="3"/>
  <c r="AB186" i="3"/>
  <c r="AB189" i="3"/>
  <c r="AB190" i="3"/>
  <c r="AB192" i="3"/>
  <c r="AB194" i="3"/>
  <c r="AB182" i="3"/>
  <c r="AB183" i="3"/>
  <c r="U142" i="3"/>
  <c r="U141" i="3"/>
  <c r="U140" i="3"/>
  <c r="U139" i="3"/>
  <c r="AB199" i="3"/>
  <c r="AB198" i="3"/>
  <c r="AB197" i="3"/>
  <c r="AB196" i="3"/>
  <c r="AB195" i="3"/>
  <c r="AB193" i="3"/>
  <c r="AB191" i="3"/>
  <c r="AB188" i="3"/>
  <c r="AB185" i="3"/>
</calcChain>
</file>

<file path=xl/comments1.xml><?xml version="1.0" encoding="utf-8"?>
<comments xmlns="http://schemas.openxmlformats.org/spreadsheetml/2006/main">
  <authors>
    <author>user</author>
  </authors>
  <commentList>
    <comment ref="B281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should this be Chaparral - ceanothus?</t>
        </r>
      </text>
    </comment>
    <comment ref="B29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should this be Chaparral - ceanothus?</t>
        </r>
      </text>
    </comment>
    <comment ref="B31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In most cases manzanita is listed as W shrub - mazanita. If no reason for this to be Chaparral, be consistent</t>
        </r>
      </text>
    </comment>
    <comment ref="B340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In most cases manzanita is listed as W shrub - mazanita. If no reason for this to be Chaparral, be consistent</t>
        </r>
      </text>
    </comment>
    <comment ref="A37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Depending on location of study could be N shrub or SE shrub. Common in Appalachians.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10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In most cases manzanita is listed as W shrub - mazanita. If no reason for this to be Chaparral, be consistent</t>
        </r>
      </text>
    </comment>
    <comment ref="B119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should this be Chaparral - ceanothus?</t>
        </r>
      </text>
    </comment>
  </commentList>
</comments>
</file>

<file path=xl/sharedStrings.xml><?xml version="1.0" encoding="utf-8"?>
<sst xmlns="http://schemas.openxmlformats.org/spreadsheetml/2006/main" count="7683" uniqueCount="836">
  <si>
    <t>Database ID</t>
  </si>
  <si>
    <t>Lead Author</t>
  </si>
  <si>
    <t>Publication Year</t>
  </si>
  <si>
    <t>Title</t>
  </si>
  <si>
    <t>Measurement Type</t>
  </si>
  <si>
    <t>Measurement Date</t>
  </si>
  <si>
    <t>Location</t>
  </si>
  <si>
    <t>State</t>
  </si>
  <si>
    <t>Fuel Type</t>
  </si>
  <si>
    <t>Primary Species 1</t>
  </si>
  <si>
    <t>Primary Species 2</t>
  </si>
  <si>
    <t>Fire Unit Name</t>
  </si>
  <si>
    <t>EF-NH3 Flaming Ammonia (g/kg)</t>
  </si>
  <si>
    <t>EF-NH3 Smoldering Ammonia(g/kg)</t>
  </si>
  <si>
    <t>EF-NH3 Ammonia (g/kg)</t>
  </si>
  <si>
    <t>EF-N2O Nitrous Oxide (g/kg)</t>
  </si>
  <si>
    <t>Laboratory</t>
  </si>
  <si>
    <t>Field</t>
  </si>
  <si>
    <t>GA</t>
  </si>
  <si>
    <t>Pine litter</t>
  </si>
  <si>
    <t>NC</t>
  </si>
  <si>
    <t>LA</t>
  </si>
  <si>
    <t>FL</t>
  </si>
  <si>
    <t>Ward, Darold E.</t>
  </si>
  <si>
    <t>Field, Ground</t>
  </si>
  <si>
    <t xml:space="preserve">75th Annual Meeting of the Air Pollution Control Associations, New Orleans, LA </t>
  </si>
  <si>
    <t>Sawgrass</t>
  </si>
  <si>
    <t>Measurement of Smoke from Two Prescribed Fires in the Pacific Northwest</t>
  </si>
  <si>
    <t>Eugene, OR</t>
  </si>
  <si>
    <t>OR</t>
  </si>
  <si>
    <t>Unit A, 1</t>
  </si>
  <si>
    <t>Unit B, 2</t>
  </si>
  <si>
    <t>Unit B, 3</t>
  </si>
  <si>
    <t>Unit B, 4</t>
  </si>
  <si>
    <t>Average of Unit A, 1 and Unit B, 2,3,4.</t>
  </si>
  <si>
    <t>Average of Unit B</t>
  </si>
  <si>
    <t>Clements, Hubert B.</t>
  </si>
  <si>
    <t>Pine needles</t>
  </si>
  <si>
    <t>Radke, L. F.</t>
  </si>
  <si>
    <t>CA</t>
  </si>
  <si>
    <t>Standing Black Sage, Sumac and Chamise</t>
  </si>
  <si>
    <t>Eagle</t>
  </si>
  <si>
    <t>Standing Chaparral, Chamise</t>
  </si>
  <si>
    <t>Lodi 2</t>
  </si>
  <si>
    <t>Ontario, CA (Canada)</t>
  </si>
  <si>
    <t>Hardiman</t>
  </si>
  <si>
    <t>Grants Pass, Oregon</t>
  </si>
  <si>
    <t>Douglas Fir, True Fir, hemlock</t>
  </si>
  <si>
    <t>Silver</t>
  </si>
  <si>
    <t>MT</t>
  </si>
  <si>
    <t>Troy</t>
  </si>
  <si>
    <t>Chaparral</t>
  </si>
  <si>
    <t>Sagebrush</t>
  </si>
  <si>
    <t>Hegg, Dean</t>
  </si>
  <si>
    <t>Emissions of Some Trace Gases From Biomass Fires</t>
  </si>
  <si>
    <t xml:space="preserve">82nd Annual Meeting and Exhibition Anaheim, California </t>
  </si>
  <si>
    <t>Field, Air</t>
  </si>
  <si>
    <t>Los Angeles Basin</t>
  </si>
  <si>
    <t>Chaparral, Chamise</t>
  </si>
  <si>
    <t xml:space="preserve">Lodi 1 </t>
  </si>
  <si>
    <t>Roseburg, Orgeon</t>
  </si>
  <si>
    <t>Pine, brush, Douglas Fir</t>
  </si>
  <si>
    <t>Myrtle/Fall Creek</t>
  </si>
  <si>
    <t>17-19-Sept-87</t>
  </si>
  <si>
    <t>Douglas Fir, True Fir, Hemlock, Jack Pine</t>
  </si>
  <si>
    <t>Chapleau, Ontario</t>
  </si>
  <si>
    <t>Black Sage, Sumac, Chamise</t>
  </si>
  <si>
    <t>Comana, California</t>
  </si>
  <si>
    <t>Jack Pine, White and Black Spruce</t>
  </si>
  <si>
    <t>Timmins, Ontario</t>
  </si>
  <si>
    <t>Battersby</t>
  </si>
  <si>
    <t>Particulate and Trace Gas Emissions from Large Biomass Fires in North America</t>
  </si>
  <si>
    <t>Global Biomass Burning: Atmospheric, Climate, and Biospheric Implications. Cambridge, MA: MIT Press</t>
  </si>
  <si>
    <t>Field, prescribed</t>
  </si>
  <si>
    <t>Los Angles, CA</t>
  </si>
  <si>
    <t>Lodi 1</t>
  </si>
  <si>
    <t>Field, Wildfire</t>
  </si>
  <si>
    <t>Roseberg, OR</t>
  </si>
  <si>
    <t>Pine, brush &amp; Douglas Fir</t>
  </si>
  <si>
    <t>Grants Pass, OR</t>
  </si>
  <si>
    <t>Jack Pine, Aspen, Paper Birch</t>
  </si>
  <si>
    <t>Ramona, CA</t>
  </si>
  <si>
    <t>Jack Pine, White &amp; Black Spruce</t>
  </si>
  <si>
    <t>"Chained" &amp; Herbicidal Paper Birch &amp; Poplar</t>
  </si>
  <si>
    <t>Hill</t>
  </si>
  <si>
    <t>Hornepayne, Ontario</t>
  </si>
  <si>
    <t>"Chained" &amp; Herbicidal Paper Birch, Poplar *mixed Hardwoods</t>
  </si>
  <si>
    <t xml:space="preserve">Wicksteed  </t>
  </si>
  <si>
    <t>Kelowna, B.C.</t>
  </si>
  <si>
    <t>Hemlock debris, deciduous, Douglas Fir</t>
  </si>
  <si>
    <t>Mabel Lake</t>
  </si>
  <si>
    <t>Ceanothus</t>
  </si>
  <si>
    <t>Chamise</t>
  </si>
  <si>
    <t xml:space="preserve">Adenostoma fasciculatum </t>
  </si>
  <si>
    <t>Manzanita</t>
  </si>
  <si>
    <t>Laursen, Krista K.</t>
  </si>
  <si>
    <t>Some Trace Gas Emissions from North American Biomass Fires with as Assessment of Regional and Global Fluxes from Biomass Burning</t>
  </si>
  <si>
    <t>Journal of Geophysical Research Vol. 97, No.D18:20687-20701</t>
  </si>
  <si>
    <t>black sage, sumac, chamise</t>
  </si>
  <si>
    <t>chaparral, chamise</t>
  </si>
  <si>
    <t>Lodi I</t>
  </si>
  <si>
    <t>Lodi II</t>
  </si>
  <si>
    <t>jack pine, aspen, paper birch</t>
  </si>
  <si>
    <t>pine, brush, Douglas-fir</t>
  </si>
  <si>
    <t>Myrtle/Fall Creeek</t>
  </si>
  <si>
    <t>Douglas-fir, ture fir, hemlock</t>
  </si>
  <si>
    <t>Troy, MT</t>
  </si>
  <si>
    <t>pine, Douglas-fir, true fir</t>
  </si>
  <si>
    <t>jack pine, white and black spruce</t>
  </si>
  <si>
    <t>Peterlong</t>
  </si>
  <si>
    <t>paper birch, poplar</t>
  </si>
  <si>
    <t>birch, poplar, mixed hardwoods</t>
  </si>
  <si>
    <t>Wicksteed</t>
  </si>
  <si>
    <t>BC</t>
  </si>
  <si>
    <t>hemlock, deciduous, Douglas-fir</t>
  </si>
  <si>
    <t>Fairbanks, AK</t>
  </si>
  <si>
    <t>AK</t>
  </si>
  <si>
    <t>black spruce</t>
  </si>
  <si>
    <t>Alaska (A121)</t>
  </si>
  <si>
    <t>Tropical Forest</t>
  </si>
  <si>
    <t>Agricultural Residues</t>
  </si>
  <si>
    <t>Ponderosa pine wood</t>
  </si>
  <si>
    <t>Yokelson, Robert J.</t>
  </si>
  <si>
    <t>Open-Path Fourier Transform Infrared Studies of Large Scale Laboratory Biomass Fires</t>
  </si>
  <si>
    <t>Journal of Geophysical Research Vol. 101, No. D15: 21067-2080</t>
  </si>
  <si>
    <t>Missoula, MT</t>
  </si>
  <si>
    <t>pinus ponderosa</t>
  </si>
  <si>
    <t>3 Pine Needles</t>
  </si>
  <si>
    <t>*4.07</t>
  </si>
  <si>
    <t>*0.41</t>
  </si>
  <si>
    <t>*0.09</t>
  </si>
  <si>
    <t>*12.8</t>
  </si>
  <si>
    <t>*2.94</t>
  </si>
  <si>
    <t>*10.6</t>
  </si>
  <si>
    <t>*0.84</t>
  </si>
  <si>
    <t>*8.33</t>
  </si>
  <si>
    <t>*1.14</t>
  </si>
  <si>
    <t>*0.55</t>
  </si>
  <si>
    <t>5 Pine Needles</t>
  </si>
  <si>
    <t>*13.6</t>
  </si>
  <si>
    <t>*2.84</t>
  </si>
  <si>
    <t>*8.94</t>
  </si>
  <si>
    <t>*0.95</t>
  </si>
  <si>
    <t>*7.87</t>
  </si>
  <si>
    <t>*1.33</t>
  </si>
  <si>
    <t>*0.08</t>
  </si>
  <si>
    <t>*1.22</t>
  </si>
  <si>
    <t>Duff, pineneedles, twigs, wood</t>
  </si>
  <si>
    <t>Broadcast</t>
  </si>
  <si>
    <t>*4.85</t>
  </si>
  <si>
    <t>*1.43</t>
  </si>
  <si>
    <t>*0.6</t>
  </si>
  <si>
    <t>*3.38</t>
  </si>
  <si>
    <t>*6.56</t>
  </si>
  <si>
    <t>*1.67</t>
  </si>
  <si>
    <t>*5.02</t>
  </si>
  <si>
    <t>*1.89</t>
  </si>
  <si>
    <t>*0.19</t>
  </si>
  <si>
    <t>*1.73</t>
  </si>
  <si>
    <t>twigs, needles, small branches</t>
  </si>
  <si>
    <t>Slash</t>
  </si>
  <si>
    <t>*3.82</t>
  </si>
  <si>
    <t>*0.21</t>
  </si>
  <si>
    <t>*2.93</t>
  </si>
  <si>
    <t>*1.52</t>
  </si>
  <si>
    <t>*0.1</t>
  </si>
  <si>
    <t>*1.31</t>
  </si>
  <si>
    <t>sagebrush</t>
  </si>
  <si>
    <t>artemisia tridentata</t>
  </si>
  <si>
    <t>8 Sagebrush</t>
  </si>
  <si>
    <t>*1.66</t>
  </si>
  <si>
    <t>*0.73</t>
  </si>
  <si>
    <t>*5.62</t>
  </si>
  <si>
    <t>*1.62</t>
  </si>
  <si>
    <t>*9.44</t>
  </si>
  <si>
    <t>*7.79</t>
  </si>
  <si>
    <t>*9.25</t>
  </si>
  <si>
    <t>*2.15</t>
  </si>
  <si>
    <t>*0.17</t>
  </si>
  <si>
    <t>Pine needles, duff</t>
  </si>
  <si>
    <t>9 Ground</t>
  </si>
  <si>
    <t>*7.29</t>
  </si>
  <si>
    <t>*8.67</t>
  </si>
  <si>
    <t>*3.12</t>
  </si>
  <si>
    <t>Duff, twigs, needles and pine needles</t>
  </si>
  <si>
    <t>10 Ground</t>
  </si>
  <si>
    <t>*5.61</t>
  </si>
  <si>
    <t>twigs, needles, wood, pine needles and green needles</t>
  </si>
  <si>
    <t>11 Crown</t>
  </si>
  <si>
    <t>*6.53</t>
  </si>
  <si>
    <t>*5.14</t>
  </si>
  <si>
    <t>12 Sagebrush</t>
  </si>
  <si>
    <t>*0.71</t>
  </si>
  <si>
    <t>*4.4</t>
  </si>
  <si>
    <t>*1.13</t>
  </si>
  <si>
    <t>*9.81</t>
  </si>
  <si>
    <t>*2</t>
  </si>
  <si>
    <t>*0.31</t>
  </si>
  <si>
    <t>*1.76</t>
  </si>
  <si>
    <t>Goode, Jon G.</t>
  </si>
  <si>
    <t>Trace Gas Emissions from Laboratory Biomass Fires Measured by Open-Path Fourier Transform infrared Spectroscopy: Fires in Grass and Surface Fuels</t>
  </si>
  <si>
    <t>Ponderosa pine needles</t>
  </si>
  <si>
    <t>Grass</t>
  </si>
  <si>
    <t>Douglas-fir litter</t>
  </si>
  <si>
    <t xml:space="preserve">Ponderosa pine needles </t>
  </si>
  <si>
    <t>Measurements of Excess O3, CO2, CO, CH4, C2H4, C2H2, HCN, NO, NH3, HCOOH, CH3COOH, HCHO, and CH3OH in 1997</t>
  </si>
  <si>
    <t>Journal of Geophysical Research</t>
  </si>
  <si>
    <t>Field. Air</t>
  </si>
  <si>
    <t>Wildfire B320</t>
  </si>
  <si>
    <t>bombing range</t>
  </si>
  <si>
    <t>grass</t>
  </si>
  <si>
    <t>shrub</t>
  </si>
  <si>
    <t>B320</t>
  </si>
  <si>
    <t>21, 23, 24 Jun 97</t>
  </si>
  <si>
    <t>Wildfire B280</t>
  </si>
  <si>
    <t>boreal forest</t>
  </si>
  <si>
    <t>shrub, bog</t>
  </si>
  <si>
    <t>B280</t>
  </si>
  <si>
    <t>Wildfire B349</t>
  </si>
  <si>
    <t>B349</t>
  </si>
  <si>
    <t>24, 27-Jun 97</t>
  </si>
  <si>
    <t>Wildfire B309</t>
  </si>
  <si>
    <t>B309</t>
  </si>
  <si>
    <t>Bertschi, Isaac</t>
  </si>
  <si>
    <t>Trace Gas and Particle Emissions from Fires in Large-Diameter and Belowground Biomass Fuels</t>
  </si>
  <si>
    <t>Laboratory, Ground</t>
  </si>
  <si>
    <t>Blue Mountain Missoula, MT</t>
  </si>
  <si>
    <t>Mixture of Softwood/Duff/Organic Soil</t>
  </si>
  <si>
    <t>Stump</t>
  </si>
  <si>
    <t xml:space="preserve">Northwest Territories, Canada </t>
  </si>
  <si>
    <t>Duff/Organic Soil</t>
  </si>
  <si>
    <t>Pinus Banksiana</t>
  </si>
  <si>
    <t>Picea Mariana</t>
  </si>
  <si>
    <t>NWT 2</t>
  </si>
  <si>
    <t>Lolo National Forest</t>
  </si>
  <si>
    <t>Sub-Alphine Fir</t>
  </si>
  <si>
    <t>Lolo 1</t>
  </si>
  <si>
    <t>Lolo 2</t>
  </si>
  <si>
    <t>Lolo 3</t>
  </si>
  <si>
    <t>Jack Pine</t>
  </si>
  <si>
    <t>Black Spruce</t>
  </si>
  <si>
    <t>NWT 1</t>
  </si>
  <si>
    <t xml:space="preserve">USDA FSL Missoula, Mountana </t>
  </si>
  <si>
    <t>Hardwood Logs</t>
  </si>
  <si>
    <t xml:space="preserve">Black Cottonwood, </t>
  </si>
  <si>
    <t>Populus Balsamifera</t>
  </si>
  <si>
    <t>Cottonwood Log 2</t>
  </si>
  <si>
    <t xml:space="preserve">Wooded Savanna, Wester Central Zambia, Africa </t>
  </si>
  <si>
    <t xml:space="preserve">Julbernardia globiflora </t>
  </si>
  <si>
    <t>Brachystegia sp.</t>
  </si>
  <si>
    <t>Zambia Log</t>
  </si>
  <si>
    <t>Plum Creek, Inc. Timberland</t>
  </si>
  <si>
    <t>Softwood Debris</t>
  </si>
  <si>
    <t>Larch, Ponderosa Pine</t>
  </si>
  <si>
    <t>Douglas Fir</t>
  </si>
  <si>
    <t>PC 1</t>
  </si>
  <si>
    <t>PC 2</t>
  </si>
  <si>
    <t>Emissions of Formaldehyde, Acetic Acid, Methanol, and other Trace Gases from Biomass Fires in North Carolina measured by Airborne Fourier Transform Infrared Spectroscopy</t>
  </si>
  <si>
    <t>Camp Lejeune, NC</t>
  </si>
  <si>
    <t>southeast forest</t>
  </si>
  <si>
    <t>Pine</t>
  </si>
  <si>
    <t>mixed hardwood</t>
  </si>
  <si>
    <t>Airborne Observations of Biomass Fires</t>
  </si>
  <si>
    <t xml:space="preserve">Final Report to the National Institute of Standards and Technology </t>
  </si>
  <si>
    <t>Eagle (prescribed)</t>
  </si>
  <si>
    <t>Los Angeles, CA</t>
  </si>
  <si>
    <t>Lodi 1 (prescribed)</t>
  </si>
  <si>
    <t>Lodi 2 (prescribed)</t>
  </si>
  <si>
    <t>Debris from Jack Pine, Standing Aspen and Paper Brich</t>
  </si>
  <si>
    <t>Hardiman (prescribed)</t>
  </si>
  <si>
    <t>Roseburb, OR</t>
  </si>
  <si>
    <t>Standing pine, brush and Douglas Fir</t>
  </si>
  <si>
    <t>Myrtle/Fall Creek  (Wildfire)</t>
  </si>
  <si>
    <t>17-19 Sep 87</t>
  </si>
  <si>
    <t>Silver (Wildfire)</t>
  </si>
  <si>
    <t>"Chained" and Herbicidal Paper Birch and Poplar</t>
  </si>
  <si>
    <t>Hill (prescribed)</t>
  </si>
  <si>
    <t>"Chained" and Herbicidal Paper Birch, Poplar and Mixed Hardwoods</t>
  </si>
  <si>
    <t>wicksteed (prescribed)</t>
  </si>
  <si>
    <t xml:space="preserve">Debris from Hemlock, Deciduous, Douglas Fir </t>
  </si>
  <si>
    <t>Mabel Lake (prescribed)</t>
  </si>
  <si>
    <t>Mickler, M. D.</t>
  </si>
  <si>
    <t>Development and Demonstration of Smoke Plume, Fire Emissions, and Pre-and Post prescribed Fire Models on North Carolina Coastal Plain Forest Ecosystems</t>
  </si>
  <si>
    <t xml:space="preserve">The Fire Environment Innovations, Management, and Policy, Conference Proceedings </t>
  </si>
  <si>
    <t>Lobolly pine, Pond pine, Blackgum-maple</t>
  </si>
  <si>
    <t>Fl</t>
  </si>
  <si>
    <t>Sm</t>
  </si>
  <si>
    <t>Nitrogen Oxides from Burning Forest Fuels Examined by Thermogravimetry and Evolved Gas Analysis</t>
  </si>
  <si>
    <t>Thermochimica Acta, 35: p133-139</t>
  </si>
  <si>
    <t>Slash pine Wood</t>
  </si>
  <si>
    <t>Slash Pine bark</t>
  </si>
  <si>
    <t>Slash pine limbs (&lt; 7 mm)</t>
  </si>
  <si>
    <t>Slash pine needles (dry)</t>
  </si>
  <si>
    <t>Slash pine needles (green)</t>
  </si>
  <si>
    <t>Saw palmetto foliage (green)</t>
  </si>
  <si>
    <t>Pine needle standard (NBS)</t>
  </si>
  <si>
    <t>Saw palmetto foliage (dry)</t>
  </si>
  <si>
    <t>Loblolly pine needles (green)</t>
  </si>
  <si>
    <t>Gallberry foliage (green)</t>
  </si>
  <si>
    <t>Organic soil</t>
  </si>
  <si>
    <t>Orchard leaves standard (NBS)</t>
  </si>
  <si>
    <t>AZ</t>
  </si>
  <si>
    <t>Burling, I. R.</t>
  </si>
  <si>
    <t>Laboratory measurments of trace gas emissions from biomass burning of fuel types from the southeastern and southwestern United States</t>
  </si>
  <si>
    <t>Atmospheric Chemistry and Physics, Vol 10: 11115-11130</t>
  </si>
  <si>
    <t>FSL - Missoula</t>
  </si>
  <si>
    <t>Fort Hunter-Liggett, CA</t>
  </si>
  <si>
    <t>ceanothus</t>
  </si>
  <si>
    <t>Ceanothus leucodermis</t>
  </si>
  <si>
    <t>chamise/scrub oak</t>
  </si>
  <si>
    <t>Quercus berberidifolia</t>
  </si>
  <si>
    <t>Vandenberg AFB, CA</t>
  </si>
  <si>
    <t>California sagebrush</t>
  </si>
  <si>
    <t xml:space="preserve">Artemisia californica </t>
  </si>
  <si>
    <t>Ericameria ericoides</t>
  </si>
  <si>
    <t>coastal sage scrub</t>
  </si>
  <si>
    <t>Salvia mellifera</t>
  </si>
  <si>
    <t>Ericameria ericoides, Artemisia californica</t>
  </si>
  <si>
    <t>manzanita</t>
  </si>
  <si>
    <t xml:space="preserve">Arctostaphylos rudis </t>
  </si>
  <si>
    <t>Arctostaphylos purissima</t>
  </si>
  <si>
    <t>maritime chaparral</t>
  </si>
  <si>
    <t xml:space="preserve">Ceanothus impressus var. impressus </t>
  </si>
  <si>
    <t>C. cuneatus var. fascicularis,  Salvia mellifera</t>
  </si>
  <si>
    <t>Fort Huachuca, AZ</t>
  </si>
  <si>
    <t>masticated mesquite</t>
  </si>
  <si>
    <t>Prosopis velutina Baccharis sarothroides</t>
  </si>
  <si>
    <t>oak savanna</t>
  </si>
  <si>
    <t xml:space="preserve">Quercus emoryi </t>
  </si>
  <si>
    <t>Eragrostis lehmanniana</t>
  </si>
  <si>
    <t>oak woodland</t>
  </si>
  <si>
    <t>Arctostaphylos pungens</t>
  </si>
  <si>
    <t>Fort Benning, GA</t>
  </si>
  <si>
    <t>pine litter</t>
  </si>
  <si>
    <t>1 year herbaceous</t>
  </si>
  <si>
    <t>2 year herbaceous</t>
  </si>
  <si>
    <t>pocosin</t>
  </si>
  <si>
    <t>Lyonia  lucida</t>
  </si>
  <si>
    <t>Ilex glabra</t>
  </si>
  <si>
    <t>chipped understory hardwood</t>
  </si>
  <si>
    <t xml:space="preserve">Acer rubrum </t>
  </si>
  <si>
    <t>Persea borbonia, Gordonia lasianthus</t>
  </si>
  <si>
    <t>understory hardwood</t>
  </si>
  <si>
    <t xml:space="preserve">Acer rubrum Persea borbonia </t>
  </si>
  <si>
    <t xml:space="preserve">Persea borbonia, Gordonia lasianthus </t>
  </si>
  <si>
    <t>Alaska</t>
  </si>
  <si>
    <t>duff</t>
  </si>
  <si>
    <t>Montana</t>
  </si>
  <si>
    <t>spruce branches</t>
  </si>
  <si>
    <t>Picea engelmannii</t>
  </si>
  <si>
    <t>ponderosa pine needles</t>
  </si>
  <si>
    <t>Pinus ponderosa</t>
  </si>
  <si>
    <t>Airborne and ground-based measurements of the trace gases and particles emitted by prescribed fires in the United States</t>
  </si>
  <si>
    <t>Atmospheric Chemistry and Physics, Vol 10: 12197-12216</t>
  </si>
  <si>
    <t>Air</t>
  </si>
  <si>
    <t>Feb 11 2010</t>
  </si>
  <si>
    <t>Conifer forest understory</t>
  </si>
  <si>
    <t>Camp Lejeune IA</t>
  </si>
  <si>
    <t>Feb 12 2010</t>
  </si>
  <si>
    <t>Wilmington, NC</t>
  </si>
  <si>
    <t>Grass, conifer forest understory</t>
  </si>
  <si>
    <t>Little Florida 1</t>
  </si>
  <si>
    <t>Little Florida 2</t>
  </si>
  <si>
    <t>Feb 15 2010</t>
  </si>
  <si>
    <t>Conifer forest understory/grass airstrip</t>
  </si>
  <si>
    <t>Bear Pen ME</t>
  </si>
  <si>
    <t>Mar 1 2010</t>
  </si>
  <si>
    <t>Masticated, resprouted shrubs/ untireated conifer forest understory</t>
  </si>
  <si>
    <t>Camp Lejeune,</t>
  </si>
  <si>
    <t>Nov 10 2009</t>
  </si>
  <si>
    <t>Fresno, CA</t>
  </si>
  <si>
    <t>Sierra mixed conifer with shrub understory</t>
  </si>
  <si>
    <t>Turtle pine burns</t>
  </si>
  <si>
    <t xml:space="preserve">Conifer forest understory </t>
  </si>
  <si>
    <t>Shaver</t>
  </si>
  <si>
    <t>Nov 5 2009</t>
  </si>
  <si>
    <t>Coastal sage scrub/ grass</t>
  </si>
  <si>
    <t>Test fire Grant A</t>
  </si>
  <si>
    <t>Nov 11 2009</t>
  </si>
  <si>
    <t>Grant A</t>
  </si>
  <si>
    <t>Maritime chaparral/ grass</t>
  </si>
  <si>
    <t>Grant B</t>
  </si>
  <si>
    <t>Nov 17 2009</t>
  </si>
  <si>
    <t>Buellton, CA</t>
  </si>
  <si>
    <t>Coastal Maritime chaparral</t>
  </si>
  <si>
    <t>Williams</t>
  </si>
  <si>
    <t>Nov 18 2009</t>
  </si>
  <si>
    <t>Ventura, CA</t>
  </si>
  <si>
    <t>Coastal sage scrub</t>
  </si>
  <si>
    <t>Atmore</t>
  </si>
  <si>
    <t>Mar 29 2010</t>
  </si>
  <si>
    <t>Sierra Vista, AZ</t>
  </si>
  <si>
    <t>Emory oak savanna</t>
  </si>
  <si>
    <t>Fort Huachua T2</t>
  </si>
  <si>
    <t>Ground</t>
  </si>
  <si>
    <t>March 1 2010</t>
  </si>
  <si>
    <t>Dead stump</t>
  </si>
  <si>
    <t>CL-Unit ME 2</t>
  </si>
  <si>
    <t>CL-Unit ME 3</t>
  </si>
  <si>
    <t>CL-Unit ME 4</t>
  </si>
  <si>
    <t>March 5 2010</t>
  </si>
  <si>
    <t>Holly Shelter 1</t>
  </si>
  <si>
    <t>Holly Shelter  2</t>
  </si>
  <si>
    <t>Understory shrubs</t>
  </si>
  <si>
    <t>Holly Shelter  3</t>
  </si>
  <si>
    <t>Holly Shelter 4</t>
  </si>
  <si>
    <t>Holly Shelter 5</t>
  </si>
  <si>
    <t>McMeeking, Gavin R.</t>
  </si>
  <si>
    <t>Emissions of trace gases and aerosols during the open combustion of biomass in the laboratory</t>
  </si>
  <si>
    <t>Journal of Geophysical Research, Vol. 114 D19210, doi:1029/2009JD011836</t>
  </si>
  <si>
    <t>2006, 2007</t>
  </si>
  <si>
    <t>Athens, GA</t>
  </si>
  <si>
    <t>Kudzu</t>
  </si>
  <si>
    <t>Turkey oak</t>
  </si>
  <si>
    <t>Missoula, Mt</t>
  </si>
  <si>
    <t>St. Marks NWR, FL</t>
  </si>
  <si>
    <t>Black needlerush</t>
  </si>
  <si>
    <t>MS, FL</t>
  </si>
  <si>
    <t>Longleaf pine</t>
  </si>
  <si>
    <t>Cameron Prairie NWR, LA</t>
  </si>
  <si>
    <t>Common reed</t>
  </si>
  <si>
    <t>Montana- ponderosa pine, lodgpole pine, douglas-fir</t>
  </si>
  <si>
    <t>Montane</t>
  </si>
  <si>
    <t>Utah, Missoula, MT</t>
  </si>
  <si>
    <t>Ponderosa pine</t>
  </si>
  <si>
    <t>Big Branch NWR, LA</t>
  </si>
  <si>
    <t>Swamp sawgrass</t>
  </si>
  <si>
    <t>San Jacinto, CA</t>
  </si>
  <si>
    <t>Coastal plain- longleaf pine, saw palmetto, gallberry, titi, sawgrass, wiregrass, black needlerush</t>
  </si>
  <si>
    <t>Coastal plain</t>
  </si>
  <si>
    <t>Gallberry</t>
  </si>
  <si>
    <t>Rangeland- big sagebrush, rabbitbrush, juniper</t>
  </si>
  <si>
    <t>Rangeland</t>
  </si>
  <si>
    <t>Oak</t>
  </si>
  <si>
    <t>Lodgepole pine</t>
  </si>
  <si>
    <t>Tok, AK</t>
  </si>
  <si>
    <t>Alaskan duff</t>
  </si>
  <si>
    <t>Boreal forest- white spruce, black spruce, duff</t>
  </si>
  <si>
    <t>Boreal forest</t>
  </si>
  <si>
    <t>Hillsborough, NC</t>
  </si>
  <si>
    <t>Hickory</t>
  </si>
  <si>
    <t>Wax myrtle</t>
  </si>
  <si>
    <t>Douliou City, Taiwan</t>
  </si>
  <si>
    <t>Rice straw</t>
  </si>
  <si>
    <t>Chaparral- chamise, ceanothus, manzanita</t>
  </si>
  <si>
    <t>Palmetto</t>
  </si>
  <si>
    <t>Black spruce</t>
  </si>
  <si>
    <t>Other peltophorum, sacky sac bean, fern, rice straw, sugarcane</t>
  </si>
  <si>
    <t>Other</t>
  </si>
  <si>
    <t>Hoaryleaf ceanothus</t>
  </si>
  <si>
    <t>MS, FL, NC</t>
  </si>
  <si>
    <t>Wiregrass</t>
  </si>
  <si>
    <t>Wire grass</t>
  </si>
  <si>
    <t>White spruce</t>
  </si>
  <si>
    <t>Utah</t>
  </si>
  <si>
    <t>UT</t>
  </si>
  <si>
    <t>Utah Juniper</t>
  </si>
  <si>
    <t>Juniper</t>
  </si>
  <si>
    <t>Puerto Rico</t>
  </si>
  <si>
    <t>Puerto Rican fern</t>
  </si>
  <si>
    <t>Fern</t>
  </si>
  <si>
    <t>Rhododendron</t>
  </si>
  <si>
    <t>Gray's Rabbitbrush</t>
  </si>
  <si>
    <t>Rabbitbrush</t>
  </si>
  <si>
    <t>Montana grass</t>
  </si>
  <si>
    <t>Titi</t>
  </si>
  <si>
    <t>Chen, L.-W. A.</t>
  </si>
  <si>
    <t>Moisture effects on carbon and nitrogen emission from burning of wildland biomass</t>
  </si>
  <si>
    <t>Atmospheric Chemistry and Physics Discussions, 10, 7985-8007</t>
  </si>
  <si>
    <t>Lake Tahoe Basin, NV</t>
  </si>
  <si>
    <t>NV</t>
  </si>
  <si>
    <t>Bitterbrush, Grean Leaf Manzanita, Huckleberry Oak, Squaw Carpet</t>
  </si>
  <si>
    <t>Composite Litter ML I</t>
  </si>
  <si>
    <t>Composite Duff ML I</t>
  </si>
  <si>
    <t>Composite Soil ML I</t>
  </si>
  <si>
    <t>Bitterbrush</t>
  </si>
  <si>
    <t>Bitterbrush Leaves ML I</t>
  </si>
  <si>
    <t>BitterbrushStems ML I</t>
  </si>
  <si>
    <t>Manzanita Leaves ML I</t>
  </si>
  <si>
    <t>Manzanita Stems ML I</t>
  </si>
  <si>
    <t>Squaw Carpet</t>
  </si>
  <si>
    <t>Squaw Carpet Leaves ML I</t>
  </si>
  <si>
    <t>Squaw Carpet Stems ML I</t>
  </si>
  <si>
    <t>Composite Litter ML II</t>
  </si>
  <si>
    <t>Composite Duff ML II</t>
  </si>
  <si>
    <t>Composite Soil ML II</t>
  </si>
  <si>
    <t>Bitterbrush Leaves ML II</t>
  </si>
  <si>
    <t>BitterbrushStems ML II</t>
  </si>
  <si>
    <t>Manzanita Leaves ML II</t>
  </si>
  <si>
    <t>Manzanita Stems ML II</t>
  </si>
  <si>
    <t>Squaw Carpet Leaves ML II</t>
  </si>
  <si>
    <t>Squaw Carpet Stems ML II</t>
  </si>
  <si>
    <t>Composite Litter ML III</t>
  </si>
  <si>
    <t>Composite Duff ML III</t>
  </si>
  <si>
    <t>Composite Soil ML III</t>
  </si>
  <si>
    <t>Bitterbrush Leaves ML III</t>
  </si>
  <si>
    <t>BitterbrushStems ML III</t>
  </si>
  <si>
    <t>Manzanita Leaves ML III</t>
  </si>
  <si>
    <t>Manzanita Stems ML III</t>
  </si>
  <si>
    <t>Squaw Carpet Leaves ML III</t>
  </si>
  <si>
    <t>Squaw Carpet Stems ML III</t>
  </si>
  <si>
    <t>Andreae, M. O.</t>
  </si>
  <si>
    <t>Emission of trace Gases and Aerosols from Biomass Burning</t>
  </si>
  <si>
    <t>Synthesis report</t>
  </si>
  <si>
    <t>Extratropical Forest</t>
  </si>
  <si>
    <t>Charcoal Burning</t>
  </si>
  <si>
    <t>Biofuel Burning</t>
  </si>
  <si>
    <t>Savanna and Grassland</t>
  </si>
  <si>
    <t>Charcoal Making</t>
  </si>
  <si>
    <t>White pine needles</t>
  </si>
  <si>
    <t>excelsior</t>
  </si>
  <si>
    <t>Alaskan tundra core</t>
  </si>
  <si>
    <t>TUNDRA</t>
  </si>
  <si>
    <t>Emissions from Laboratory Combustion of Wildland Fuels: Emission Factors and Source Profiles</t>
  </si>
  <si>
    <t>Environmental Science &amp; Technology, Vol. 41, No. 12</t>
  </si>
  <si>
    <t>PPWOOD</t>
  </si>
  <si>
    <t>PPNEED</t>
  </si>
  <si>
    <t>WPNEED</t>
  </si>
  <si>
    <t>SAGE</t>
  </si>
  <si>
    <t>EXCEL</t>
  </si>
  <si>
    <t>Dambo grass</t>
  </si>
  <si>
    <t>DGRASS</t>
  </si>
  <si>
    <t>MTGRASS</t>
  </si>
  <si>
    <t>.82-.94</t>
  </si>
  <si>
    <t>.98-.97</t>
  </si>
  <si>
    <t>Kerosene</t>
  </si>
  <si>
    <t>KERO</t>
  </si>
  <si>
    <t>Hennigan, C. J.</t>
  </si>
  <si>
    <t>Chemical and Physical Transformations of Organic Aerosol from the Photo-oxidation of Open Biomass Burning in an Environmental Chamber</t>
  </si>
  <si>
    <t>Atmospheric Chemistry and Physics, 11, 7669-7686</t>
  </si>
  <si>
    <t>Saw grass</t>
  </si>
  <si>
    <t xml:space="preserve">Sage </t>
  </si>
  <si>
    <t>Sage</t>
  </si>
  <si>
    <t>Pocosin</t>
  </si>
  <si>
    <t>units in moles/kg dm x100</t>
  </si>
  <si>
    <t>moles/kg gd x100</t>
  </si>
  <si>
    <t>Synthesis Paper</t>
  </si>
  <si>
    <t>Nance</t>
  </si>
  <si>
    <t>Wildfire</t>
  </si>
  <si>
    <t>MCE</t>
  </si>
  <si>
    <t>Strand</t>
  </si>
  <si>
    <t>Sub-canopy transport and dispersion of smoke</t>
  </si>
  <si>
    <t>JFSP report</t>
  </si>
  <si>
    <t>long leaf pine litter, wiregrass, turkey oak, gallberry</t>
  </si>
  <si>
    <t>Lee</t>
  </si>
  <si>
    <t>Gaseous and Particulate Emissions from Rx Burning in Georgia</t>
  </si>
  <si>
    <t>se pine understory</t>
  </si>
  <si>
    <t>note: assumed MCE of 0.95 because pub only indicates "flaming" measurement</t>
  </si>
  <si>
    <t>note: assumed MCE of 0.85 because pub only indicates "smoldering" measurement</t>
  </si>
  <si>
    <t>Simpson</t>
  </si>
  <si>
    <t>Canada</t>
  </si>
  <si>
    <t>ARCTAS-B</t>
  </si>
  <si>
    <t>Akagi</t>
  </si>
  <si>
    <t>SC</t>
  </si>
  <si>
    <t>Block 6</t>
  </si>
  <si>
    <t>Block 9b</t>
  </si>
  <si>
    <t>Block 22b</t>
  </si>
  <si>
    <t>Pine Plantation</t>
  </si>
  <si>
    <t>Georgetown</t>
  </si>
  <si>
    <t>Francis Mario</t>
  </si>
  <si>
    <t>Bamberg</t>
  </si>
  <si>
    <t>Airborne</t>
  </si>
  <si>
    <t>Francis Marion</t>
  </si>
  <si>
    <t>Hobbs</t>
  </si>
  <si>
    <t>WA</t>
  </si>
  <si>
    <t>Western Red Cedar Logging debris</t>
  </si>
  <si>
    <t>Quinault</t>
  </si>
  <si>
    <t>Creamery</t>
  </si>
  <si>
    <t>Raymond</t>
  </si>
  <si>
    <t>Corral Wildfire</t>
  </si>
  <si>
    <t>ID</t>
  </si>
  <si>
    <t>Doug Fir, Hemlock Logging debris</t>
  </si>
  <si>
    <t>Alaska Wildfire</t>
  </si>
  <si>
    <t>sparkleberry</t>
  </si>
  <si>
    <t>loblolly pine and oak</t>
  </si>
  <si>
    <t>Loblolly debris</t>
  </si>
  <si>
    <t>SC coastal grass understory fire</t>
  </si>
  <si>
    <t>wiregrass</t>
  </si>
  <si>
    <t>Longleaf/loblolly pine understory</t>
  </si>
  <si>
    <t>These are the Chen Moisture levels II and III data. Chen reports EF's in g/kg-C (not g/kg-Fuel). I think I converted these EF numbers to g/kg-fuel assuming 50% C in the fuel. Need to use the actual %C numbers in the paper (I didn't see them at first, PIA!!!)</t>
  </si>
  <si>
    <t>Soil: Bitterbrush, Grean Leaf Manzanita, Huckleberry Oak, Squaw Carpet</t>
  </si>
  <si>
    <t>Duff: Bitterbrush, Grean Leaf Manzanita, Huckleberry Oak, Squaw Carpet</t>
  </si>
  <si>
    <t>Litter: Bitterbrush, Grean Leaf Manzanita, Huckleberry Oak, Squaw Carpet</t>
  </si>
  <si>
    <t>Manzanita (stems)</t>
  </si>
  <si>
    <t>Manzanita (leaves)</t>
  </si>
  <si>
    <t>Squaw Carpet (leaves)</t>
  </si>
  <si>
    <t>Bitterbrush (leaves)</t>
  </si>
  <si>
    <t>Bitterbrush (stems)</t>
  </si>
  <si>
    <t>Squaw Carpet (stems)</t>
  </si>
  <si>
    <t>Fire Type</t>
  </si>
  <si>
    <t>WF</t>
  </si>
  <si>
    <t>SE grass</t>
  </si>
  <si>
    <t>Lyonia lucinda and Ilex glabra</t>
  </si>
  <si>
    <t>SE shrub</t>
  </si>
  <si>
    <t>Duff</t>
  </si>
  <si>
    <t>Ramona California</t>
  </si>
  <si>
    <t>NOX Papers</t>
  </si>
  <si>
    <t>note: pubs in bold are in common with the PM2.5 pubs used</t>
  </si>
  <si>
    <t>Tropical</t>
  </si>
  <si>
    <t>Rhodedendron</t>
  </si>
  <si>
    <t>Boreal duff</t>
  </si>
  <si>
    <t>Tundra</t>
  </si>
  <si>
    <t>Pinus contorta, pseudotsuga menziesii, pinus ponderosa</t>
  </si>
  <si>
    <t>pinus contorta, pinus ponderosa</t>
  </si>
  <si>
    <t>SE hardwood</t>
  </si>
  <si>
    <t>Douglas Fir, True Fir and Hemlock</t>
  </si>
  <si>
    <t>General Fuel Type</t>
  </si>
  <si>
    <t>Boreal grass</t>
  </si>
  <si>
    <t>Excelsior</t>
  </si>
  <si>
    <t>SE shrub - pocosin</t>
  </si>
  <si>
    <t>SE pine - longleaf</t>
  </si>
  <si>
    <t>Chaparral - manzanita</t>
  </si>
  <si>
    <t>Chaparral - maritime</t>
  </si>
  <si>
    <t>Chaparral - ceanothus</t>
  </si>
  <si>
    <t>Chaparral - chamise</t>
  </si>
  <si>
    <t>SE pine - understory</t>
  </si>
  <si>
    <t>Maritime chaparral grass</t>
  </si>
  <si>
    <t>SE hardwood - chipped understory</t>
  </si>
  <si>
    <t>SE hardwood - understory</t>
  </si>
  <si>
    <t>SE herbaceous</t>
  </si>
  <si>
    <t>SE forest - understory</t>
  </si>
  <si>
    <t>SE pine - masticated understory</t>
  </si>
  <si>
    <t>SE forest - understory grass</t>
  </si>
  <si>
    <t>Chaparral - maritime grass</t>
  </si>
  <si>
    <t>Chaparral - maritime sage scrub</t>
  </si>
  <si>
    <t>Grass - Dambo green</t>
  </si>
  <si>
    <t>Boreal - duff</t>
  </si>
  <si>
    <t>SE pine - litter</t>
  </si>
  <si>
    <t>Hardwood - orchard leaves</t>
  </si>
  <si>
    <t>Chaparral - maritime chamise</t>
  </si>
  <si>
    <t>Chaparral - coastal sage shrub</t>
  </si>
  <si>
    <t>SE shrub - saw palmetto foliage</t>
  </si>
  <si>
    <t>SE hardwood - turkey oak</t>
  </si>
  <si>
    <t>SE shrub - gallberry</t>
  </si>
  <si>
    <t>Douglas-fir, true fir, hemlock</t>
  </si>
  <si>
    <t>SE shrub - palmetto</t>
  </si>
  <si>
    <t>SE shrub - wax myrtle</t>
  </si>
  <si>
    <t>SE marsh grass - black needlerush</t>
  </si>
  <si>
    <t>Boreal forest - black spuce</t>
  </si>
  <si>
    <t>SE marsh grass - sawgrass</t>
  </si>
  <si>
    <t>SE marsh grass - reed</t>
  </si>
  <si>
    <t>SE hardwood - oak</t>
  </si>
  <si>
    <t>Tropical - fern</t>
  </si>
  <si>
    <t>Tropical - crop</t>
  </si>
  <si>
    <t>Tropical - rice straw</t>
  </si>
  <si>
    <t>SE pine - longleaf pine understory</t>
  </si>
  <si>
    <t>Hardwood - oak</t>
  </si>
  <si>
    <t>SE pine - loblolly</t>
  </si>
  <si>
    <t>SE pine- longleaf sandhill</t>
  </si>
  <si>
    <t>Timber harvest clearcut</t>
  </si>
  <si>
    <t>W hardwood - oak savanna</t>
  </si>
  <si>
    <t>W hardwood - oak woodland</t>
  </si>
  <si>
    <t>W hardwood - Emory oak</t>
  </si>
  <si>
    <t>W conifer - ponderosa pine wood</t>
  </si>
  <si>
    <t>W conifer - ponderosa pine litter</t>
  </si>
  <si>
    <t>W range - sagebrush</t>
  </si>
  <si>
    <t>W conifer - ponderosa pine needles</t>
  </si>
  <si>
    <t>W conifer - Douglas-fir litter</t>
  </si>
  <si>
    <t>W grass</t>
  </si>
  <si>
    <t>W conifer - mixed</t>
  </si>
  <si>
    <t>W conifer - ponderosa pine</t>
  </si>
  <si>
    <t>W conifer - lodgepole pine</t>
  </si>
  <si>
    <t>W conifer - red cedar slash</t>
  </si>
  <si>
    <t>W conifer - Douglas-fir</t>
  </si>
  <si>
    <t>W range - rabbitbrush</t>
  </si>
  <si>
    <t>W range - Utah juniper</t>
  </si>
  <si>
    <t>W conifer - slash</t>
  </si>
  <si>
    <t>W conifer - forest floor</t>
  </si>
  <si>
    <t>W conifer - litter, downed wood</t>
  </si>
  <si>
    <t>W conifer - ponderosa pine slash</t>
  </si>
  <si>
    <t>W conifer - ponderosa pine forest floor</t>
  </si>
  <si>
    <t>N conifer - mixed</t>
  </si>
  <si>
    <t>N hardwood</t>
  </si>
  <si>
    <t>N mixedwood</t>
  </si>
  <si>
    <t>N conifer - mixed slash</t>
  </si>
  <si>
    <t>Boreal forest - duff, spruce</t>
  </si>
  <si>
    <t>Boreal forest - black spruce</t>
  </si>
  <si>
    <t>Boreal forest - white spruce</t>
  </si>
  <si>
    <t>W shrub - squaw carpet</t>
  </si>
  <si>
    <t>W shrub - manzanita</t>
  </si>
  <si>
    <t>W shrub - bitterbrush</t>
  </si>
  <si>
    <t>W shrub - mesquite masticated</t>
  </si>
  <si>
    <t>W conifer - Engelmann spruce branches</t>
  </si>
  <si>
    <t>W grass - Montana grass</t>
  </si>
  <si>
    <t>W range - Montana grass</t>
  </si>
  <si>
    <t>W shrub - Sierra soil</t>
  </si>
  <si>
    <t>W shrub - Sierra duff</t>
  </si>
  <si>
    <t>W shrub - manzanita stems</t>
  </si>
  <si>
    <t>W shrub - Sierra litter</t>
  </si>
  <si>
    <t>W shrub - manzanita foliage</t>
  </si>
  <si>
    <t>W shrub - squaw carpet foliage</t>
  </si>
  <si>
    <t>W shrub - bitterbrush foliage</t>
  </si>
  <si>
    <t>W shrub - bitterbrush stems</t>
  </si>
  <si>
    <t>W shrub - squaw carpet stems</t>
  </si>
  <si>
    <t>SE pine - slash pine wood</t>
  </si>
  <si>
    <t>SE pine - slash pine bark</t>
  </si>
  <si>
    <t>SE pine - slash pine needles</t>
  </si>
  <si>
    <t>SE pine - slash pine branches</t>
  </si>
  <si>
    <t>SE pine - slash pine green needles</t>
  </si>
  <si>
    <t>SE pine - loblolly pine green needles</t>
  </si>
  <si>
    <t>SE shrub - saw palmetto green foliage</t>
  </si>
  <si>
    <t>W conifer - Douglas-fir western hemlock slash</t>
  </si>
  <si>
    <t>Group</t>
  </si>
  <si>
    <t>SE pine</t>
  </si>
  <si>
    <t>W shrub</t>
  </si>
  <si>
    <t>W hardwood</t>
  </si>
  <si>
    <t>W conifer</t>
  </si>
  <si>
    <t>W range</t>
  </si>
  <si>
    <t>W conifer - white pine litter</t>
  </si>
  <si>
    <t>W duff</t>
  </si>
  <si>
    <t>N conifer</t>
  </si>
  <si>
    <t>SE shrub - gallberry green foliage</t>
  </si>
  <si>
    <t>Chaparral - coastal sage scrub</t>
  </si>
  <si>
    <t>W hardwood - cottonwood logs</t>
  </si>
  <si>
    <t>W conifer - lodgepole pine duff</t>
  </si>
  <si>
    <t>W mixedwood</t>
  </si>
  <si>
    <t>W conifer - duff/soil</t>
  </si>
  <si>
    <t>W conifer - western larch and pine slash</t>
  </si>
  <si>
    <t xml:space="preserve">Duff  </t>
  </si>
  <si>
    <t>N conifer - jack pine duff</t>
  </si>
  <si>
    <t>N conifer - jack pine</t>
  </si>
  <si>
    <t>Tropical - hardwood logs</t>
  </si>
  <si>
    <t>N mixedwood - slash</t>
  </si>
  <si>
    <t>W shrub - masticated mesquite</t>
  </si>
  <si>
    <t>W hardwood - emory oak</t>
  </si>
  <si>
    <t>W shrub - ceanothus</t>
  </si>
  <si>
    <t>W conifer - spruce branches</t>
  </si>
  <si>
    <t>W conifer - understory</t>
  </si>
  <si>
    <t>W conifer - Sierra mixed conifer</t>
  </si>
  <si>
    <t>SE pine - stump</t>
  </si>
  <si>
    <t>SE pine - understory shrubs</t>
  </si>
  <si>
    <t>Boreal forest - spruce/duff</t>
  </si>
  <si>
    <t>SE marshgrass - needlerush</t>
  </si>
  <si>
    <t>SE shrub - kudzu</t>
  </si>
  <si>
    <t>SE marshgrass - common reed</t>
  </si>
  <si>
    <t>SE marshgrass - sawgrass</t>
  </si>
  <si>
    <t>SE pine - longleaf pine</t>
  </si>
  <si>
    <t>SE grass - wiregrass</t>
  </si>
  <si>
    <t xml:space="preserve">W conifer - Douglas-fir  </t>
  </si>
  <si>
    <t xml:space="preserve">W conifer - lodgepole pine  </t>
  </si>
  <si>
    <t xml:space="preserve">W conifer - ponderosa pine  </t>
  </si>
  <si>
    <t>W shrub - sagebrush</t>
  </si>
  <si>
    <t>SE hardwood - hickory</t>
  </si>
  <si>
    <t>W range - juniper</t>
  </si>
  <si>
    <t>W range - mixed</t>
  </si>
  <si>
    <t>W conifer - wood, forest floor</t>
  </si>
  <si>
    <t>Tropical - hardwood</t>
  </si>
  <si>
    <t>Hardwood</t>
  </si>
  <si>
    <t xml:space="preserve">Tropical  </t>
  </si>
  <si>
    <t>Tropical crop</t>
  </si>
  <si>
    <t>N duff</t>
  </si>
  <si>
    <t>N grass</t>
  </si>
  <si>
    <t>N hardwood - slash</t>
  </si>
  <si>
    <t>Douglas Fir, true fir, hemlock</t>
  </si>
  <si>
    <t>W mixedwood - slash</t>
  </si>
  <si>
    <t xml:space="preserve">W shrub - Sierra </t>
  </si>
  <si>
    <t>W shrub - Sierra mixed</t>
  </si>
  <si>
    <t xml:space="preserve">Tropical </t>
  </si>
  <si>
    <t>W conifer - ponderosa pine litter, duff</t>
  </si>
  <si>
    <t>W conifer - western larch, pine slash</t>
  </si>
  <si>
    <r>
      <t xml:space="preserve">SE marsh </t>
    </r>
    <r>
      <rPr>
        <sz val="12"/>
        <color rgb="FFFF0000"/>
        <rFont val="Calibri"/>
        <family val="2"/>
        <scheme val="minor"/>
      </rPr>
      <t>shrub</t>
    </r>
    <r>
      <rPr>
        <sz val="12"/>
        <rFont val="Calibri"/>
        <scheme val="minor"/>
      </rPr>
      <t xml:space="preserve"> - titi</t>
    </r>
  </si>
  <si>
    <r>
      <t xml:space="preserve">SE </t>
    </r>
    <r>
      <rPr>
        <sz val="12"/>
        <color rgb="FFFF0000"/>
        <rFont val="Calibri"/>
        <family val="2"/>
        <scheme val="minor"/>
      </rPr>
      <t>shrub</t>
    </r>
  </si>
  <si>
    <r>
      <t xml:space="preserve">W </t>
    </r>
    <r>
      <rPr>
        <sz val="11"/>
        <color rgb="FFFF0000"/>
        <rFont val="Calibri"/>
        <family val="2"/>
        <scheme val="minor"/>
      </rPr>
      <t>duff</t>
    </r>
  </si>
  <si>
    <t>N shrub</t>
  </si>
  <si>
    <r>
      <rPr>
        <sz val="12"/>
        <color rgb="FFFF0000"/>
        <rFont val="Calibri"/>
        <family val="2"/>
        <scheme val="minor"/>
      </rPr>
      <t>SE</t>
    </r>
    <r>
      <rPr>
        <sz val="12"/>
        <rFont val="Calibri"/>
        <scheme val="minor"/>
      </rPr>
      <t xml:space="preserve"> Hardwood - oak</t>
    </r>
  </si>
  <si>
    <r>
      <t xml:space="preserve">W shrub - Sierra </t>
    </r>
    <r>
      <rPr>
        <sz val="11"/>
        <color rgb="FFFF0000"/>
        <rFont val="Calibri"/>
        <family val="2"/>
        <scheme val="minor"/>
      </rPr>
      <t>??</t>
    </r>
  </si>
  <si>
    <r>
      <t xml:space="preserve">W conifer - Sierra mixed </t>
    </r>
    <r>
      <rPr>
        <sz val="12"/>
        <color rgb="FFFF0000"/>
        <rFont val="Calibri"/>
        <family val="2"/>
        <scheme val="minor"/>
      </rPr>
      <t>conifer</t>
    </r>
  </si>
  <si>
    <t>W shrub - Sierra mixed conifer</t>
  </si>
  <si>
    <t>Sierra mixed conifer conifer with shrub understory</t>
  </si>
  <si>
    <t>W shrub - Sierra mixed conifer conifer</t>
  </si>
  <si>
    <t>SE marsh shrub - titi</t>
  </si>
  <si>
    <t>Silver wildfire is listed in Radke (1990, 2991), Laursen and Hegg</t>
  </si>
  <si>
    <t>Eagle in multiple pubs too (Hegg, Laursen, Radke)</t>
  </si>
  <si>
    <t>Hardiman in multiple pubs too (Hegg, Laursen, Radke)</t>
  </si>
  <si>
    <t>Hill fire - Radke and Laursen numbers do not agree. Units in both papers are g/kg - ARGHHH</t>
  </si>
  <si>
    <t>Mabel Lake - again, numbers are different between papers for the same burns -ARGGHHH</t>
  </si>
  <si>
    <t>Wiksteed Lake - again, numbers are different between papers for the same burns -ARGGHHH</t>
  </si>
  <si>
    <t>NOTE: Akagi et al. 2011 is a synthesis paper with N2O data - Urbanski 2014 uses this Akagi 2011 paper. I think the N2O data are from a Nature paper by Crutzen 1979</t>
  </si>
  <si>
    <r>
      <t xml:space="preserve">Lodi </t>
    </r>
    <r>
      <rPr>
        <sz val="12"/>
        <rFont val="Calibri"/>
        <scheme val="minor"/>
      </rPr>
      <t>2</t>
    </r>
  </si>
  <si>
    <r>
      <t xml:space="preserve">Lodi </t>
    </r>
    <r>
      <rPr>
        <sz val="12"/>
        <rFont val="Calibri"/>
        <scheme val="minor"/>
      </rPr>
      <t>1</t>
    </r>
  </si>
  <si>
    <t>Not using Laursen because it is consistently different from Hegg, and two Radke papers</t>
  </si>
  <si>
    <t>These data are duplicates of Hegg et al. 1989</t>
  </si>
  <si>
    <t>Another Synthesis paper to add would be Akagi et al. 2011</t>
  </si>
  <si>
    <t>I'm not confident in the Laursen data</t>
  </si>
  <si>
    <t>NO</t>
  </si>
  <si>
    <t>NO2</t>
  </si>
  <si>
    <t>NOX</t>
  </si>
  <si>
    <t>CE</t>
  </si>
  <si>
    <t>Uncategorized</t>
  </si>
  <si>
    <t>CE Flame</t>
  </si>
  <si>
    <t>CE Smold</t>
  </si>
  <si>
    <t>MCE Flame</t>
  </si>
  <si>
    <t>MCE Smold</t>
  </si>
  <si>
    <t>NO Flame</t>
  </si>
  <si>
    <t>NO Smolde</t>
  </si>
  <si>
    <t>NO2 Flame</t>
  </si>
  <si>
    <t>NO2 Smold</t>
  </si>
  <si>
    <t>Duplicate data to Hegg</t>
  </si>
  <si>
    <t>mature longleaf pine</t>
  </si>
  <si>
    <t>mature long leaf pine, sparkleberry</t>
  </si>
  <si>
    <t>mature long leaf and loblolly pine and oak</t>
  </si>
  <si>
    <t>loblolly pine debris (plantation fire)</t>
  </si>
  <si>
    <t>longleaf pine, wiregrass</t>
  </si>
  <si>
    <t>CANADA</t>
  </si>
  <si>
    <t>International</t>
  </si>
  <si>
    <r>
      <t xml:space="preserve">Douglas-Fir, </t>
    </r>
    <r>
      <rPr>
        <i/>
        <sz val="10"/>
        <rFont val="Arial"/>
      </rPr>
      <t>Pseudotsuga menziesii</t>
    </r>
  </si>
  <si>
    <r>
      <t xml:space="preserve">Pinegrass, </t>
    </r>
    <r>
      <rPr>
        <i/>
        <sz val="10"/>
        <rFont val="Arial"/>
      </rPr>
      <t>Calamagrotis rubesceus</t>
    </r>
  </si>
  <si>
    <t>CE Flaming</t>
  </si>
  <si>
    <t>CE Smoldering</t>
  </si>
  <si>
    <t>MCE Flaming</t>
  </si>
  <si>
    <t>MCE Smoldering</t>
  </si>
  <si>
    <t>CE/MCE</t>
  </si>
  <si>
    <t>F/S Flag</t>
  </si>
  <si>
    <t>EF</t>
  </si>
  <si>
    <t>Average</t>
  </si>
  <si>
    <t>Median</t>
  </si>
  <si>
    <t>Max</t>
  </si>
  <si>
    <t>Min</t>
  </si>
  <si>
    <t>Stdev</t>
  </si>
  <si>
    <t>Count</t>
  </si>
  <si>
    <t>debris from jack pine, aspen,  birch</t>
  </si>
  <si>
    <t>fuels described wrong - should be "debris from jack pine, standing aspen, and paper birch</t>
  </si>
  <si>
    <t>debris from jack pine, standing aspen, and paper birch</t>
  </si>
  <si>
    <t>NO Smold</t>
  </si>
  <si>
    <t>F</t>
  </si>
  <si>
    <t>SE pine (all data)</t>
  </si>
  <si>
    <t>SE pine (F)</t>
  </si>
  <si>
    <t>SE pine (S)</t>
  </si>
  <si>
    <t>W shrub (all data)</t>
  </si>
  <si>
    <t>W shrub (F)</t>
  </si>
  <si>
    <t>W shrub (S)</t>
  </si>
  <si>
    <t>Duplicate to Hegg</t>
  </si>
  <si>
    <t>N2O Pubs</t>
  </si>
  <si>
    <t>NOX pubs</t>
  </si>
  <si>
    <t>NO Pubs</t>
  </si>
  <si>
    <t>NO2 Pubs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</si>
</sst>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mmmm\,\ yyyy"/>
  </numFmts>
  <fonts count="2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scheme val="minor"/>
    </font>
    <font>
      <b/>
      <sz val="11"/>
      <name val="Arial"/>
    </font>
    <font>
      <b/>
      <sz val="12"/>
      <name val="Calibri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</font>
    <font>
      <i/>
      <sz val="10"/>
      <name val="Arial"/>
    </font>
    <font>
      <b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11">
    <xf numFmtId="0" fontId="0" fillId="0" borderId="0"/>
    <xf numFmtId="0" fontId="3" fillId="0" borderId="0"/>
    <xf numFmtId="0" fontId="3" fillId="0" borderId="0"/>
    <xf numFmtId="0" fontId="5" fillId="0" borderId="0"/>
    <xf numFmtId="0" fontId="6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41">
    <xf numFmtId="0" fontId="0" fillId="0" borderId="0" xfId="0"/>
    <xf numFmtId="0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4" fillId="0" borderId="0" xfId="0" applyNumberFormat="1" applyFont="1" applyFill="1" applyBorder="1" applyAlignment="1">
      <alignment horizontal="left" vertical="top"/>
    </xf>
    <xf numFmtId="0" fontId="4" fillId="0" borderId="0" xfId="0" applyNumberFormat="1" applyFont="1" applyFill="1" applyBorder="1" applyAlignment="1">
      <alignment vertical="top"/>
    </xf>
    <xf numFmtId="0" fontId="4" fillId="0" borderId="1" xfId="0" applyNumberFormat="1" applyFont="1" applyFill="1" applyBorder="1" applyAlignment="1">
      <alignment horizontal="left" vertical="top"/>
    </xf>
    <xf numFmtId="0" fontId="4" fillId="0" borderId="0" xfId="2" applyFont="1" applyBorder="1" applyAlignment="1">
      <alignment vertical="top"/>
    </xf>
    <xf numFmtId="15" fontId="4" fillId="0" borderId="0" xfId="0" applyNumberFormat="1" applyFont="1" applyFill="1" applyBorder="1" applyAlignment="1">
      <alignment horizontal="left" vertical="top"/>
    </xf>
    <xf numFmtId="0" fontId="4" fillId="0" borderId="0" xfId="2" applyFont="1" applyBorder="1" applyAlignment="1">
      <alignment horizontal="left" vertical="top"/>
    </xf>
    <xf numFmtId="0" fontId="4" fillId="0" borderId="0" xfId="3" applyFont="1" applyFill="1" applyBorder="1" applyAlignment="1">
      <alignment horizontal="left" vertical="top"/>
    </xf>
    <xf numFmtId="0" fontId="4" fillId="0" borderId="0" xfId="4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2" applyFont="1" applyFill="1" applyBorder="1" applyAlignment="1">
      <alignment vertical="top"/>
    </xf>
    <xf numFmtId="15" fontId="4" fillId="0" borderId="0" xfId="3" applyNumberFormat="1" applyFont="1" applyFill="1" applyBorder="1" applyAlignment="1">
      <alignment horizontal="left" vertical="top"/>
    </xf>
    <xf numFmtId="0" fontId="4" fillId="0" borderId="0" xfId="2" applyFont="1" applyFill="1" applyBorder="1" applyAlignment="1">
      <alignment horizontal="left" vertical="top"/>
    </xf>
    <xf numFmtId="0" fontId="4" fillId="0" borderId="0" xfId="2" applyNumberFormat="1" applyFont="1" applyFill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4" fillId="0" borderId="0" xfId="0" applyNumberFormat="1" applyFont="1" applyBorder="1" applyAlignment="1">
      <alignment horizontal="left" vertical="top"/>
    </xf>
    <xf numFmtId="2" fontId="0" fillId="0" borderId="0" xfId="0" applyNumberFormat="1"/>
    <xf numFmtId="0" fontId="0" fillId="0" borderId="0" xfId="0" applyFont="1"/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0" fontId="9" fillId="0" borderId="0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1" xfId="0" applyFont="1" applyBorder="1"/>
    <xf numFmtId="0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0" xfId="2" applyNumberFormat="1" applyFont="1" applyFill="1" applyBorder="1" applyAlignment="1">
      <alignment horizontal="right" vertical="top"/>
    </xf>
    <xf numFmtId="0" fontId="10" fillId="0" borderId="0" xfId="0" applyNumberFormat="1" applyFont="1" applyFill="1" applyBorder="1" applyAlignment="1">
      <alignment horizontal="left" vertical="top"/>
    </xf>
    <xf numFmtId="0" fontId="11" fillId="0" borderId="0" xfId="0" applyNumberFormat="1" applyFont="1" applyFill="1" applyBorder="1" applyAlignment="1">
      <alignment horizontal="left" vertical="center"/>
    </xf>
    <xf numFmtId="0" fontId="10" fillId="0" borderId="0" xfId="2" applyFont="1" applyBorder="1" applyAlignment="1">
      <alignment horizontal="left" vertical="top"/>
    </xf>
    <xf numFmtId="0" fontId="12" fillId="0" borderId="0" xfId="0" applyFont="1"/>
    <xf numFmtId="0" fontId="13" fillId="0" borderId="0" xfId="0" applyNumberFormat="1" applyFont="1" applyFill="1" applyBorder="1" applyAlignment="1">
      <alignment horizontal="left" vertical="center"/>
    </xf>
    <xf numFmtId="0" fontId="0" fillId="0" borderId="0" xfId="0" applyFont="1" applyFill="1"/>
    <xf numFmtId="0" fontId="14" fillId="0" borderId="0" xfId="0" applyNumberFormat="1" applyFont="1" applyFill="1" applyBorder="1" applyAlignment="1">
      <alignment horizontal="left" vertical="top"/>
    </xf>
    <xf numFmtId="0" fontId="14" fillId="0" borderId="1" xfId="0" applyNumberFormat="1" applyFont="1" applyFill="1" applyBorder="1" applyAlignment="1">
      <alignment horizontal="left" vertical="top"/>
    </xf>
    <xf numFmtId="0" fontId="13" fillId="0" borderId="0" xfId="0" applyNumberFormat="1" applyFont="1" applyFill="1" applyBorder="1" applyAlignment="1">
      <alignment horizontal="right" vertical="center"/>
    </xf>
    <xf numFmtId="0" fontId="13" fillId="0" borderId="1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15" fillId="0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top"/>
    </xf>
    <xf numFmtId="0" fontId="13" fillId="0" borderId="0" xfId="0" applyNumberFormat="1" applyFont="1" applyFill="1" applyBorder="1" applyAlignment="1">
      <alignment horizontal="center" vertical="top"/>
    </xf>
    <xf numFmtId="0" fontId="13" fillId="0" borderId="0" xfId="0" applyNumberFormat="1" applyFont="1" applyFill="1" applyBorder="1" applyAlignment="1">
      <alignment horizontal="left" vertical="top"/>
    </xf>
    <xf numFmtId="0" fontId="13" fillId="0" borderId="0" xfId="4" applyNumberFormat="1" applyFont="1" applyFill="1" applyBorder="1" applyAlignment="1">
      <alignment horizontal="left" vertical="top"/>
    </xf>
    <xf numFmtId="166" fontId="13" fillId="0" borderId="0" xfId="0" applyNumberFormat="1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13" fillId="0" borderId="0" xfId="0" applyNumberFormat="1" applyFont="1" applyFill="1" applyBorder="1" applyAlignment="1">
      <alignment horizontal="right" vertical="top"/>
    </xf>
    <xf numFmtId="165" fontId="13" fillId="0" borderId="0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right" vertical="top"/>
    </xf>
    <xf numFmtId="0" fontId="16" fillId="0" borderId="0" xfId="0" applyNumberFormat="1" applyFont="1" applyFill="1" applyBorder="1" applyAlignment="1">
      <alignment horizontal="left" vertical="top"/>
    </xf>
    <xf numFmtId="0" fontId="13" fillId="0" borderId="1" xfId="0" applyNumberFormat="1" applyFont="1" applyFill="1" applyBorder="1" applyAlignment="1">
      <alignment horizontal="center" vertical="top"/>
    </xf>
    <xf numFmtId="0" fontId="13" fillId="0" borderId="1" xfId="0" applyNumberFormat="1" applyFont="1" applyFill="1" applyBorder="1" applyAlignment="1">
      <alignment horizontal="left" vertical="top"/>
    </xf>
    <xf numFmtId="0" fontId="13" fillId="0" borderId="1" xfId="4" applyNumberFormat="1" applyFont="1" applyFill="1" applyBorder="1" applyAlignment="1">
      <alignment horizontal="left" vertical="top"/>
    </xf>
    <xf numFmtId="0" fontId="13" fillId="0" borderId="1" xfId="0" applyNumberFormat="1" applyFont="1" applyFill="1" applyBorder="1" applyAlignment="1">
      <alignment vertical="top"/>
    </xf>
    <xf numFmtId="0" fontId="13" fillId="0" borderId="1" xfId="0" applyFont="1" applyFill="1" applyBorder="1" applyAlignment="1">
      <alignment horizontal="left" vertical="top"/>
    </xf>
    <xf numFmtId="0" fontId="13" fillId="0" borderId="1" xfId="0" applyNumberFormat="1" applyFont="1" applyFill="1" applyBorder="1" applyAlignment="1">
      <alignment horizontal="right" vertical="top"/>
    </xf>
    <xf numFmtId="0" fontId="13" fillId="0" borderId="0" xfId="2" applyFont="1" applyBorder="1" applyAlignment="1">
      <alignment horizontal="left" vertical="top"/>
    </xf>
    <xf numFmtId="0" fontId="13" fillId="0" borderId="0" xfId="0" applyFont="1" applyBorder="1" applyAlignment="1">
      <alignment vertical="top"/>
    </xf>
    <xf numFmtId="0" fontId="13" fillId="0" borderId="0" xfId="0" applyNumberFormat="1" applyFont="1" applyBorder="1" applyAlignment="1">
      <alignment horizontal="left" vertical="top"/>
    </xf>
    <xf numFmtId="2" fontId="13" fillId="0" borderId="0" xfId="0" applyNumberFormat="1" applyFont="1" applyFill="1" applyBorder="1" applyAlignment="1">
      <alignment horizontal="right" vertical="top"/>
    </xf>
    <xf numFmtId="0" fontId="13" fillId="0" borderId="1" xfId="0" applyNumberFormat="1" applyFont="1" applyBorder="1" applyAlignment="1">
      <alignment horizontal="left" vertical="top"/>
    </xf>
    <xf numFmtId="0" fontId="13" fillId="0" borderId="1" xfId="0" applyFont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6" applyFont="1" applyFill="1" applyBorder="1" applyAlignment="1">
      <alignment horizontal="left" vertical="top"/>
    </xf>
    <xf numFmtId="15" fontId="13" fillId="0" borderId="0" xfId="0" applyNumberFormat="1" applyFont="1" applyFill="1" applyBorder="1" applyAlignment="1">
      <alignment horizontal="left" vertical="top"/>
    </xf>
    <xf numFmtId="0" fontId="13" fillId="0" borderId="0" xfId="2" applyFont="1" applyFill="1" applyBorder="1" applyAlignment="1">
      <alignment vertical="top"/>
    </xf>
    <xf numFmtId="15" fontId="13" fillId="0" borderId="0" xfId="3" applyNumberFormat="1" applyFont="1" applyFill="1" applyBorder="1" applyAlignment="1">
      <alignment horizontal="left" vertical="top"/>
    </xf>
    <xf numFmtId="0" fontId="13" fillId="0" borderId="0" xfId="2" applyFont="1" applyFill="1" applyBorder="1" applyAlignment="1">
      <alignment horizontal="left" vertical="top"/>
    </xf>
    <xf numFmtId="0" fontId="13" fillId="0" borderId="0" xfId="3" applyFont="1" applyFill="1" applyBorder="1" applyAlignment="1">
      <alignment horizontal="left" vertical="top"/>
    </xf>
    <xf numFmtId="0" fontId="13" fillId="0" borderId="0" xfId="3" applyFont="1" applyFill="1" applyBorder="1" applyAlignment="1">
      <alignment horizontal="right" vertical="top"/>
    </xf>
    <xf numFmtId="165" fontId="13" fillId="0" borderId="0" xfId="3" applyNumberFormat="1" applyFont="1" applyFill="1" applyBorder="1" applyAlignment="1">
      <alignment horizontal="right" vertical="top"/>
    </xf>
    <xf numFmtId="0" fontId="13" fillId="0" borderId="0" xfId="2" applyNumberFormat="1" applyFont="1" applyFill="1" applyBorder="1" applyAlignment="1">
      <alignment horizontal="left" vertical="top"/>
    </xf>
    <xf numFmtId="0" fontId="13" fillId="0" borderId="0" xfId="0" applyFont="1" applyFill="1" applyAlignment="1">
      <alignment horizontal="left" vertical="top"/>
    </xf>
    <xf numFmtId="0" fontId="17" fillId="0" borderId="0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 vertical="top"/>
    </xf>
    <xf numFmtId="0" fontId="0" fillId="0" borderId="1" xfId="0" applyFont="1" applyFill="1" applyBorder="1"/>
    <xf numFmtId="0" fontId="13" fillId="0" borderId="2" xfId="0" applyNumberFormat="1" applyFont="1" applyFill="1" applyBorder="1" applyAlignment="1">
      <alignment horizontal="left" vertical="top"/>
    </xf>
    <xf numFmtId="0" fontId="19" fillId="0" borderId="0" xfId="0" applyFont="1"/>
    <xf numFmtId="0" fontId="0" fillId="0" borderId="0" xfId="0" applyFont="1" applyBorder="1"/>
    <xf numFmtId="0" fontId="0" fillId="0" borderId="0" xfId="0" applyFont="1" applyFill="1" applyBorder="1"/>
    <xf numFmtId="0" fontId="11" fillId="0" borderId="0" xfId="0" applyNumberFormat="1" applyFont="1" applyFill="1" applyBorder="1" applyAlignment="1">
      <alignment vertical="center"/>
    </xf>
    <xf numFmtId="0" fontId="9" fillId="0" borderId="0" xfId="2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center"/>
    </xf>
    <xf numFmtId="0" fontId="4" fillId="2" borderId="0" xfId="3" applyFont="1" applyFill="1" applyBorder="1" applyAlignment="1">
      <alignment horizontal="left" vertical="top"/>
    </xf>
    <xf numFmtId="0" fontId="4" fillId="2" borderId="0" xfId="0" applyNumberFormat="1" applyFont="1" applyFill="1" applyBorder="1" applyAlignment="1">
      <alignment horizontal="left" vertical="top"/>
    </xf>
    <xf numFmtId="0" fontId="0" fillId="2" borderId="0" xfId="0" applyFill="1"/>
    <xf numFmtId="0" fontId="9" fillId="0" borderId="0" xfId="0" applyNumberFormat="1" applyFont="1" applyFill="1" applyBorder="1" applyAlignment="1">
      <alignment horizontal="left" vertical="top"/>
    </xf>
    <xf numFmtId="2" fontId="0" fillId="0" borderId="0" xfId="0" applyNumberFormat="1" applyFont="1"/>
    <xf numFmtId="0" fontId="1" fillId="0" borderId="0" xfId="0" applyFont="1" applyBorder="1" applyAlignment="1">
      <alignment horizontal="left" vertical="top"/>
    </xf>
    <xf numFmtId="0" fontId="23" fillId="0" borderId="0" xfId="0" applyFont="1"/>
    <xf numFmtId="0" fontId="15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/>
    <xf numFmtId="0" fontId="0" fillId="0" borderId="0" xfId="0" applyFont="1" applyFill="1" applyBorder="1" applyAlignment="1">
      <alignment horizontal="right"/>
    </xf>
    <xf numFmtId="0" fontId="0" fillId="0" borderId="0" xfId="0" applyFill="1"/>
    <xf numFmtId="0" fontId="13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3" applyFont="1" applyFill="1" applyBorder="1" applyAlignment="1">
      <alignment vertical="top"/>
    </xf>
    <xf numFmtId="2" fontId="13" fillId="0" borderId="0" xfId="3" applyNumberFormat="1" applyFont="1" applyFill="1" applyBorder="1" applyAlignment="1">
      <alignment horizontal="right" vertical="top"/>
    </xf>
    <xf numFmtId="0" fontId="6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6" fillId="0" borderId="0" xfId="0" applyNumberFormat="1" applyFont="1" applyFill="1" applyBorder="1" applyAlignment="1">
      <alignment vertical="top"/>
    </xf>
    <xf numFmtId="0" fontId="6" fillId="0" borderId="0" xfId="0" applyNumberFormat="1" applyFont="1" applyFill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15" fontId="6" fillId="0" borderId="0" xfId="0" applyNumberFormat="1" applyFont="1" applyFill="1" applyBorder="1" applyAlignment="1">
      <alignment horizontal="left" vertical="top"/>
    </xf>
    <xf numFmtId="0" fontId="6" fillId="0" borderId="0" xfId="2" applyFont="1" applyFill="1" applyBorder="1" applyAlignment="1">
      <alignment vertical="top"/>
    </xf>
    <xf numFmtId="15" fontId="6" fillId="0" borderId="0" xfId="3" applyNumberFormat="1" applyFont="1" applyFill="1" applyBorder="1" applyAlignment="1">
      <alignment horizontal="left" vertical="top"/>
    </xf>
    <xf numFmtId="0" fontId="6" fillId="0" borderId="0" xfId="3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25" fillId="0" borderId="0" xfId="0" applyNumberFormat="1" applyFont="1" applyFill="1" applyBorder="1" applyAlignment="1">
      <alignment horizontal="left" vertical="top"/>
    </xf>
    <xf numFmtId="0" fontId="6" fillId="0" borderId="0" xfId="2" applyFont="1" applyBorder="1" applyAlignment="1">
      <alignment horizontal="left" vertical="top"/>
    </xf>
    <xf numFmtId="166" fontId="6" fillId="0" borderId="0" xfId="0" applyNumberFormat="1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left" vertical="top"/>
    </xf>
    <xf numFmtId="165" fontId="6" fillId="0" borderId="0" xfId="0" applyNumberFormat="1" applyFont="1" applyFill="1" applyBorder="1" applyAlignment="1">
      <alignment horizontal="left" vertical="top"/>
    </xf>
    <xf numFmtId="164" fontId="6" fillId="0" borderId="0" xfId="0" applyNumberFormat="1" applyFont="1" applyFill="1" applyBorder="1" applyAlignment="1">
      <alignment horizontal="left" vertical="top"/>
    </xf>
    <xf numFmtId="0" fontId="6" fillId="0" borderId="0" xfId="2" applyFont="1" applyFill="1" applyBorder="1" applyAlignment="1">
      <alignment horizontal="left" vertical="top"/>
    </xf>
    <xf numFmtId="0" fontId="6" fillId="0" borderId="0" xfId="2" applyNumberFormat="1" applyFont="1" applyFill="1" applyBorder="1" applyAlignment="1">
      <alignment horizontal="left" vertical="top"/>
    </xf>
    <xf numFmtId="165" fontId="6" fillId="0" borderId="0" xfId="3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horizontal="left" vertical="top"/>
    </xf>
    <xf numFmtId="0" fontId="24" fillId="0" borderId="0" xfId="0" applyFont="1" applyBorder="1"/>
    <xf numFmtId="164" fontId="24" fillId="0" borderId="0" xfId="0" applyNumberFormat="1" applyFont="1" applyBorder="1"/>
    <xf numFmtId="0" fontId="6" fillId="2" borderId="0" xfId="0" applyNumberFormat="1" applyFont="1" applyFill="1" applyBorder="1" applyAlignment="1">
      <alignment horizontal="left" vertical="top"/>
    </xf>
    <xf numFmtId="0" fontId="24" fillId="2" borderId="0" xfId="0" applyFont="1" applyFill="1" applyBorder="1"/>
    <xf numFmtId="164" fontId="24" fillId="2" borderId="0" xfId="0" applyNumberFormat="1" applyFont="1" applyFill="1" applyBorder="1"/>
    <xf numFmtId="0" fontId="1" fillId="2" borderId="0" xfId="0" applyFont="1" applyFill="1"/>
    <xf numFmtId="0" fontId="6" fillId="2" borderId="0" xfId="0" applyNumberFormat="1" applyFont="1" applyFill="1" applyBorder="1" applyAlignment="1">
      <alignment horizontal="center" vertical="top"/>
    </xf>
    <xf numFmtId="0" fontId="6" fillId="2" borderId="0" xfId="2" applyFont="1" applyFill="1" applyBorder="1" applyAlignment="1">
      <alignment horizontal="left" vertical="top"/>
    </xf>
    <xf numFmtId="0" fontId="6" fillId="2" borderId="0" xfId="0" applyNumberFormat="1" applyFont="1" applyFill="1" applyBorder="1" applyAlignment="1">
      <alignment vertical="top"/>
    </xf>
    <xf numFmtId="166" fontId="6" fillId="2" borderId="0" xfId="0" applyNumberFormat="1" applyFont="1" applyFill="1" applyBorder="1" applyAlignment="1">
      <alignment horizontal="left" vertical="top"/>
    </xf>
    <xf numFmtId="0" fontId="25" fillId="2" borderId="0" xfId="0" applyNumberFormat="1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165" fontId="6" fillId="2" borderId="0" xfId="0" applyNumberFormat="1" applyFont="1" applyFill="1" applyBorder="1" applyAlignment="1">
      <alignment horizontal="left" vertical="top"/>
    </xf>
    <xf numFmtId="164" fontId="6" fillId="2" borderId="0" xfId="0" applyNumberFormat="1" applyFont="1" applyFill="1" applyBorder="1" applyAlignment="1">
      <alignment horizontal="left" vertical="top"/>
    </xf>
    <xf numFmtId="15" fontId="6" fillId="2" borderId="0" xfId="0" applyNumberFormat="1" applyFont="1" applyFill="1" applyBorder="1" applyAlignment="1">
      <alignment horizontal="left" vertical="top"/>
    </xf>
    <xf numFmtId="2" fontId="6" fillId="2" borderId="0" xfId="0" applyNumberFormat="1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25" fillId="2" borderId="0" xfId="0" applyFont="1" applyFill="1" applyBorder="1" applyAlignment="1">
      <alignment horizontal="left" vertical="top"/>
    </xf>
    <xf numFmtId="0" fontId="6" fillId="2" borderId="0" xfId="2" applyNumberFormat="1" applyFont="1" applyFill="1" applyBorder="1" applyAlignment="1">
      <alignment horizontal="left" vertical="top"/>
    </xf>
    <xf numFmtId="0" fontId="6" fillId="2" borderId="0" xfId="6" applyFont="1" applyFill="1" applyBorder="1" applyAlignment="1">
      <alignment horizontal="left" vertical="top"/>
    </xf>
    <xf numFmtId="0" fontId="24" fillId="2" borderId="0" xfId="0" applyFont="1" applyFill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0" fontId="26" fillId="0" borderId="0" xfId="0" applyFont="1" applyBorder="1"/>
    <xf numFmtId="0" fontId="24" fillId="2" borderId="3" xfId="0" applyFont="1" applyFill="1" applyBorder="1"/>
    <xf numFmtId="2" fontId="24" fillId="2" borderId="3" xfId="0" applyNumberFormat="1" applyFont="1" applyFill="1" applyBorder="1"/>
    <xf numFmtId="0" fontId="26" fillId="2" borderId="3" xfId="0" applyFont="1" applyFill="1" applyBorder="1" applyAlignment="1">
      <alignment horizontal="left" vertical="top"/>
    </xf>
    <xf numFmtId="0" fontId="24" fillId="0" borderId="3" xfId="0" applyFont="1" applyBorder="1"/>
    <xf numFmtId="164" fontId="24" fillId="0" borderId="3" xfId="0" applyNumberFormat="1" applyFont="1" applyBorder="1" applyAlignment="1">
      <alignment horizontal="left" vertical="top"/>
    </xf>
    <xf numFmtId="164" fontId="24" fillId="2" borderId="3" xfId="0" applyNumberFormat="1" applyFont="1" applyFill="1" applyBorder="1" applyAlignment="1">
      <alignment horizontal="left" vertical="top"/>
    </xf>
    <xf numFmtId="165" fontId="24" fillId="0" borderId="3" xfId="0" applyNumberFormat="1" applyFont="1" applyBorder="1"/>
    <xf numFmtId="164" fontId="24" fillId="2" borderId="3" xfId="0" applyNumberFormat="1" applyFont="1" applyFill="1" applyBorder="1"/>
    <xf numFmtId="165" fontId="24" fillId="2" borderId="3" xfId="0" applyNumberFormat="1" applyFont="1" applyFill="1" applyBorder="1"/>
    <xf numFmtId="0" fontId="26" fillId="2" borderId="3" xfId="0" applyFont="1" applyFill="1" applyBorder="1"/>
    <xf numFmtId="0" fontId="26" fillId="0" borderId="3" xfId="0" applyFont="1" applyBorder="1"/>
    <xf numFmtId="0" fontId="6" fillId="2" borderId="0" xfId="0" applyFont="1" applyFill="1" applyBorder="1" applyAlignment="1">
      <alignment vertical="top"/>
    </xf>
    <xf numFmtId="0" fontId="6" fillId="2" borderId="0" xfId="4" applyNumberFormat="1" applyFont="1" applyFill="1" applyBorder="1" applyAlignment="1">
      <alignment horizontal="left" vertical="top"/>
    </xf>
    <xf numFmtId="0" fontId="2" fillId="2" borderId="0" xfId="0" applyNumberFormat="1" applyFont="1" applyFill="1" applyBorder="1" applyAlignment="1">
      <alignment horizontal="center" vertical="center"/>
    </xf>
    <xf numFmtId="164" fontId="24" fillId="0" borderId="3" xfId="0" applyNumberFormat="1" applyFont="1" applyBorder="1"/>
    <xf numFmtId="0" fontId="24" fillId="0" borderId="0" xfId="0" applyFont="1" applyFill="1" applyBorder="1"/>
    <xf numFmtId="164" fontId="24" fillId="0" borderId="0" xfId="0" applyNumberFormat="1" applyFont="1" applyFill="1" applyBorder="1"/>
    <xf numFmtId="0" fontId="9" fillId="0" borderId="0" xfId="3" applyFont="1" applyFill="1" applyBorder="1" applyAlignment="1">
      <alignment horizontal="left" vertical="top"/>
    </xf>
    <xf numFmtId="0" fontId="0" fillId="0" borderId="3" xfId="0" applyBorder="1"/>
    <xf numFmtId="2" fontId="0" fillId="0" borderId="3" xfId="0" applyNumberFormat="1" applyBorder="1"/>
    <xf numFmtId="0" fontId="0" fillId="0" borderId="3" xfId="0" applyBorder="1" applyAlignment="1">
      <alignment horizontal="right"/>
    </xf>
    <xf numFmtId="2" fontId="0" fillId="0" borderId="3" xfId="0" applyNumberFormat="1" applyBorder="1" applyAlignment="1">
      <alignment horizontal="right"/>
    </xf>
    <xf numFmtId="0" fontId="12" fillId="0" borderId="3" xfId="0" applyFont="1" applyBorder="1"/>
    <xf numFmtId="0" fontId="9" fillId="0" borderId="0" xfId="0" applyNumberFormat="1" applyFont="1" applyFill="1" applyBorder="1" applyAlignment="1">
      <alignment horizontal="right" vertical="top"/>
    </xf>
    <xf numFmtId="0" fontId="9" fillId="0" borderId="0" xfId="3" applyFont="1" applyFill="1" applyBorder="1" applyAlignment="1">
      <alignment horizontal="right" vertical="top"/>
    </xf>
    <xf numFmtId="2" fontId="9" fillId="0" borderId="0" xfId="0" applyNumberFormat="1" applyFont="1" applyFill="1" applyBorder="1" applyAlignment="1">
      <alignment horizontal="right" vertical="top"/>
    </xf>
    <xf numFmtId="165" fontId="9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top"/>
    </xf>
    <xf numFmtId="164" fontId="9" fillId="0" borderId="0" xfId="0" applyNumberFormat="1" applyFont="1" applyFill="1" applyBorder="1" applyAlignment="1">
      <alignment horizontal="right" vertical="top"/>
    </xf>
    <xf numFmtId="0" fontId="9" fillId="0" borderId="0" xfId="0" applyNumberFormat="1" applyFont="1" applyFill="1" applyBorder="1" applyAlignment="1">
      <alignment horizontal="right" vertical="center"/>
    </xf>
    <xf numFmtId="0" fontId="9" fillId="0" borderId="1" xfId="0" applyNumberFormat="1" applyFont="1" applyFill="1" applyBorder="1" applyAlignment="1">
      <alignment horizontal="right" vertical="top"/>
    </xf>
    <xf numFmtId="164" fontId="9" fillId="0" borderId="0" xfId="0" applyNumberFormat="1" applyFont="1" applyFill="1" applyBorder="1" applyAlignment="1">
      <alignment horizontal="right" vertical="center"/>
    </xf>
    <xf numFmtId="2" fontId="9" fillId="0" borderId="1" xfId="0" applyNumberFormat="1" applyFont="1" applyFill="1" applyBorder="1" applyAlignment="1">
      <alignment horizontal="right" vertical="top"/>
    </xf>
    <xf numFmtId="0" fontId="13" fillId="2" borderId="0" xfId="0" applyNumberFormat="1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NumberFormat="1" applyFont="1" applyFill="1" applyBorder="1" applyAlignment="1">
      <alignment vertical="top"/>
    </xf>
    <xf numFmtId="0" fontId="0" fillId="2" borderId="0" xfId="0" applyFont="1" applyFill="1" applyBorder="1"/>
    <xf numFmtId="0" fontId="13" fillId="2" borderId="0" xfId="0" applyNumberFormat="1" applyFont="1" applyFill="1" applyBorder="1" applyAlignment="1">
      <alignment horizontal="right" vertical="center"/>
    </xf>
    <xf numFmtId="0" fontId="9" fillId="2" borderId="0" xfId="0" applyNumberFormat="1" applyFont="1" applyFill="1" applyBorder="1" applyAlignment="1">
      <alignment horizontal="right" vertical="center"/>
    </xf>
    <xf numFmtId="0" fontId="13" fillId="2" borderId="0" xfId="0" applyNumberFormat="1" applyFont="1" applyFill="1" applyBorder="1" applyAlignment="1">
      <alignment horizontal="center" vertical="top"/>
    </xf>
    <xf numFmtId="0" fontId="13" fillId="2" borderId="0" xfId="0" applyFont="1" applyFill="1" applyBorder="1" applyAlignment="1">
      <alignment vertical="top"/>
    </xf>
    <xf numFmtId="0" fontId="13" fillId="2" borderId="0" xfId="0" applyNumberFormat="1" applyFont="1" applyFill="1" applyBorder="1" applyAlignment="1">
      <alignment horizontal="left" vertical="top"/>
    </xf>
    <xf numFmtId="0" fontId="13" fillId="2" borderId="0" xfId="0" applyNumberFormat="1" applyFont="1" applyFill="1" applyBorder="1" applyAlignment="1">
      <alignment horizontal="right" vertical="top"/>
    </xf>
    <xf numFmtId="0" fontId="9" fillId="2" borderId="0" xfId="0" applyNumberFormat="1" applyFont="1" applyFill="1" applyBorder="1" applyAlignment="1">
      <alignment horizontal="right" vertical="top"/>
    </xf>
    <xf numFmtId="0" fontId="13" fillId="2" borderId="0" xfId="0" applyFont="1" applyFill="1" applyBorder="1" applyAlignment="1">
      <alignment horizontal="left" vertical="top"/>
    </xf>
    <xf numFmtId="0" fontId="13" fillId="2" borderId="0" xfId="3" applyFont="1" applyFill="1" applyBorder="1" applyAlignment="1">
      <alignment vertical="top"/>
    </xf>
    <xf numFmtId="15" fontId="13" fillId="2" borderId="0" xfId="3" applyNumberFormat="1" applyFont="1" applyFill="1" applyBorder="1" applyAlignment="1">
      <alignment horizontal="left" vertical="top"/>
    </xf>
    <xf numFmtId="0" fontId="9" fillId="2" borderId="0" xfId="2" applyFont="1" applyFill="1" applyBorder="1" applyAlignment="1">
      <alignment horizontal="left" vertical="top"/>
    </xf>
    <xf numFmtId="0" fontId="13" fillId="2" borderId="0" xfId="2" applyFont="1" applyFill="1" applyBorder="1" applyAlignment="1">
      <alignment horizontal="left" vertical="top"/>
    </xf>
    <xf numFmtId="0" fontId="13" fillId="2" borderId="0" xfId="3" applyFont="1" applyFill="1" applyBorder="1" applyAlignment="1">
      <alignment horizontal="left" vertical="top"/>
    </xf>
    <xf numFmtId="2" fontId="13" fillId="2" borderId="0" xfId="3" applyNumberFormat="1" applyFont="1" applyFill="1" applyBorder="1" applyAlignment="1">
      <alignment horizontal="right" vertical="top"/>
    </xf>
    <xf numFmtId="0" fontId="9" fillId="2" borderId="0" xfId="3" applyFont="1" applyFill="1" applyBorder="1" applyAlignment="1">
      <alignment horizontal="right" vertical="top"/>
    </xf>
    <xf numFmtId="0" fontId="13" fillId="2" borderId="0" xfId="2" applyFont="1" applyFill="1" applyBorder="1" applyAlignment="1">
      <alignment vertical="top"/>
    </xf>
    <xf numFmtId="0" fontId="9" fillId="2" borderId="0" xfId="3" applyFont="1" applyFill="1" applyBorder="1" applyAlignment="1">
      <alignment horizontal="left" vertical="top"/>
    </xf>
    <xf numFmtId="0" fontId="13" fillId="2" borderId="0" xfId="3" applyFont="1" applyFill="1" applyBorder="1" applyAlignment="1">
      <alignment horizontal="right" vertical="top"/>
    </xf>
    <xf numFmtId="166" fontId="13" fillId="2" borderId="0" xfId="0" applyNumberFormat="1" applyFont="1" applyFill="1" applyBorder="1" applyAlignment="1">
      <alignment horizontal="left" vertical="top"/>
    </xf>
    <xf numFmtId="0" fontId="16" fillId="2" borderId="0" xfId="0" applyFont="1" applyFill="1" applyBorder="1" applyAlignment="1">
      <alignment horizontal="left" vertical="top"/>
    </xf>
    <xf numFmtId="0" fontId="13" fillId="2" borderId="0" xfId="0" applyFont="1" applyFill="1" applyBorder="1" applyAlignment="1">
      <alignment horizontal="right" vertical="top"/>
    </xf>
    <xf numFmtId="165" fontId="9" fillId="2" borderId="0" xfId="0" applyNumberFormat="1" applyFont="1" applyFill="1" applyBorder="1" applyAlignment="1">
      <alignment horizontal="right" vertical="top"/>
    </xf>
    <xf numFmtId="0" fontId="16" fillId="2" borderId="0" xfId="0" applyNumberFormat="1" applyFont="1" applyFill="1" applyBorder="1" applyAlignment="1">
      <alignment horizontal="left" vertical="top"/>
    </xf>
    <xf numFmtId="165" fontId="13" fillId="2" borderId="0" xfId="0" applyNumberFormat="1" applyFont="1" applyFill="1" applyBorder="1" applyAlignment="1">
      <alignment horizontal="right" vertical="top"/>
    </xf>
    <xf numFmtId="0" fontId="0" fillId="2" borderId="0" xfId="0" applyFont="1" applyFill="1" applyBorder="1" applyAlignment="1">
      <alignment horizontal="right"/>
    </xf>
    <xf numFmtId="0" fontId="13" fillId="2" borderId="0" xfId="6" applyFont="1" applyFill="1" applyBorder="1" applyAlignment="1">
      <alignment horizontal="left" vertical="top"/>
    </xf>
    <xf numFmtId="164" fontId="9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top"/>
    </xf>
    <xf numFmtId="15" fontId="13" fillId="2" borderId="0" xfId="0" applyNumberFormat="1" applyFont="1" applyFill="1" applyBorder="1" applyAlignment="1">
      <alignment horizontal="left" vertical="top"/>
    </xf>
    <xf numFmtId="164" fontId="9" fillId="2" borderId="0" xfId="0" applyNumberFormat="1" applyFont="1" applyFill="1" applyBorder="1" applyAlignment="1">
      <alignment horizontal="right" vertical="top"/>
    </xf>
    <xf numFmtId="2" fontId="13" fillId="2" borderId="0" xfId="0" applyNumberFormat="1" applyFont="1" applyFill="1" applyBorder="1" applyAlignment="1">
      <alignment horizontal="right" vertical="top"/>
    </xf>
    <xf numFmtId="2" fontId="9" fillId="2" borderId="0" xfId="0" applyNumberFormat="1" applyFont="1" applyFill="1" applyBorder="1" applyAlignment="1">
      <alignment horizontal="right" vertical="top"/>
    </xf>
    <xf numFmtId="2" fontId="0" fillId="2" borderId="0" xfId="0" applyNumberFormat="1" applyFill="1"/>
    <xf numFmtId="0" fontId="0" fillId="2" borderId="3" xfId="0" applyFill="1" applyBorder="1"/>
    <xf numFmtId="2" fontId="0" fillId="2" borderId="3" xfId="0" applyNumberFormat="1" applyFill="1" applyBorder="1"/>
    <xf numFmtId="1" fontId="0" fillId="2" borderId="3" xfId="0" applyNumberFormat="1" applyFill="1" applyBorder="1"/>
    <xf numFmtId="1" fontId="0" fillId="0" borderId="3" xfId="0" applyNumberFormat="1" applyBorder="1"/>
    <xf numFmtId="0" fontId="12" fillId="2" borderId="3" xfId="0" applyFont="1" applyFill="1" applyBorder="1"/>
    <xf numFmtId="0" fontId="1" fillId="2" borderId="3" xfId="0" applyFont="1" applyFill="1" applyBorder="1"/>
    <xf numFmtId="164" fontId="1" fillId="2" borderId="3" xfId="0" applyNumberFormat="1" applyFont="1" applyFill="1" applyBorder="1"/>
    <xf numFmtId="1" fontId="1" fillId="2" borderId="3" xfId="0" applyNumberFormat="1" applyFont="1" applyFill="1" applyBorder="1"/>
    <xf numFmtId="1" fontId="24" fillId="2" borderId="3" xfId="0" applyNumberFormat="1" applyFont="1" applyFill="1" applyBorder="1"/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top"/>
    </xf>
    <xf numFmtId="0" fontId="6" fillId="0" borderId="0" xfId="4" applyNumberFormat="1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left" vertical="top"/>
    </xf>
  </cellXfs>
  <cellStyles count="611"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Normal" xfId="0" builtinId="0"/>
    <cellStyle name="Normal 10" xfId="4"/>
    <cellStyle name="Normal 2" xfId="2"/>
    <cellStyle name="Normal 2 2 2" xfId="8"/>
    <cellStyle name="Normal 2 3" xfId="7"/>
    <cellStyle name="Normal 2 4" xfId="5"/>
    <cellStyle name="Normal 3" xfId="3"/>
    <cellStyle name="Normal 3 2" xfId="6"/>
    <cellStyle name="Normal 6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0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chartsheet" Target="chartsheets/sheet1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'NH3'!$U$20:$U$133</c:f>
              <c:numCache>
                <c:formatCode>0.000</c:formatCode>
                <c:ptCount val="114"/>
                <c:pt idx="0">
                  <c:v>0.891</c:v>
                </c:pt>
                <c:pt idx="1">
                  <c:v>0.9</c:v>
                </c:pt>
                <c:pt idx="2" formatCode="General">
                  <c:v>0.959</c:v>
                </c:pt>
                <c:pt idx="3">
                  <c:v>0.933</c:v>
                </c:pt>
                <c:pt idx="4">
                  <c:v>0.886</c:v>
                </c:pt>
                <c:pt idx="5" formatCode="General">
                  <c:v>0.954</c:v>
                </c:pt>
                <c:pt idx="6">
                  <c:v>0.99</c:v>
                </c:pt>
                <c:pt idx="7">
                  <c:v>0.97</c:v>
                </c:pt>
                <c:pt idx="8">
                  <c:v>0.957</c:v>
                </c:pt>
                <c:pt idx="9">
                  <c:v>0.951</c:v>
                </c:pt>
                <c:pt idx="10">
                  <c:v>0.95</c:v>
                </c:pt>
                <c:pt idx="11">
                  <c:v>0.945</c:v>
                </c:pt>
                <c:pt idx="12" formatCode="General">
                  <c:v>0.944</c:v>
                </c:pt>
                <c:pt idx="13">
                  <c:v>0.944</c:v>
                </c:pt>
                <c:pt idx="14">
                  <c:v>0.943</c:v>
                </c:pt>
                <c:pt idx="15">
                  <c:v>0.942</c:v>
                </c:pt>
                <c:pt idx="16" formatCode="General">
                  <c:v>0.935</c:v>
                </c:pt>
                <c:pt idx="17" formatCode="General">
                  <c:v>0.932</c:v>
                </c:pt>
                <c:pt idx="18">
                  <c:v>0.931</c:v>
                </c:pt>
                <c:pt idx="19">
                  <c:v>0.93</c:v>
                </c:pt>
                <c:pt idx="20" formatCode="General">
                  <c:v>0.927</c:v>
                </c:pt>
                <c:pt idx="21" formatCode="General">
                  <c:v>0.919</c:v>
                </c:pt>
                <c:pt idx="22">
                  <c:v>0.914</c:v>
                </c:pt>
                <c:pt idx="23" formatCode="General">
                  <c:v>0.904</c:v>
                </c:pt>
                <c:pt idx="24" formatCode="General">
                  <c:v>0.894</c:v>
                </c:pt>
                <c:pt idx="25" formatCode="General">
                  <c:v>0.876</c:v>
                </c:pt>
                <c:pt idx="26">
                  <c:v>0.864</c:v>
                </c:pt>
                <c:pt idx="27" formatCode="General">
                  <c:v>0.858</c:v>
                </c:pt>
                <c:pt idx="28">
                  <c:v>0.85</c:v>
                </c:pt>
                <c:pt idx="29">
                  <c:v>0.849</c:v>
                </c:pt>
                <c:pt idx="30">
                  <c:v>0.823</c:v>
                </c:pt>
                <c:pt idx="31">
                  <c:v>0.82</c:v>
                </c:pt>
                <c:pt idx="32">
                  <c:v>0.8</c:v>
                </c:pt>
                <c:pt idx="33">
                  <c:v>0.796</c:v>
                </c:pt>
                <c:pt idx="34">
                  <c:v>0.794</c:v>
                </c:pt>
                <c:pt idx="35" formatCode="General">
                  <c:v>0.789</c:v>
                </c:pt>
                <c:pt idx="36">
                  <c:v>0.76</c:v>
                </c:pt>
                <c:pt idx="37">
                  <c:v>0.947</c:v>
                </c:pt>
                <c:pt idx="38">
                  <c:v>0.857</c:v>
                </c:pt>
                <c:pt idx="39">
                  <c:v>0.933</c:v>
                </c:pt>
                <c:pt idx="40" formatCode="General">
                  <c:v>0.953</c:v>
                </c:pt>
                <c:pt idx="41">
                  <c:v>0.915</c:v>
                </c:pt>
                <c:pt idx="42">
                  <c:v>0.906</c:v>
                </c:pt>
                <c:pt idx="43" formatCode="General">
                  <c:v>0.95</c:v>
                </c:pt>
                <c:pt idx="44">
                  <c:v>0.92</c:v>
                </c:pt>
                <c:pt idx="47">
                  <c:v>0.915</c:v>
                </c:pt>
                <c:pt idx="48">
                  <c:v>0.92</c:v>
                </c:pt>
                <c:pt idx="49" formatCode="General">
                  <c:v>0.98</c:v>
                </c:pt>
                <c:pt idx="50" formatCode="General">
                  <c:v>0.97</c:v>
                </c:pt>
                <c:pt idx="51">
                  <c:v>0.959</c:v>
                </c:pt>
                <c:pt idx="52">
                  <c:v>0.913</c:v>
                </c:pt>
                <c:pt idx="53">
                  <c:v>0.934</c:v>
                </c:pt>
                <c:pt idx="54">
                  <c:v>0.885</c:v>
                </c:pt>
                <c:pt idx="61" formatCode="General">
                  <c:v>0.97</c:v>
                </c:pt>
                <c:pt idx="62" formatCode="General">
                  <c:v>0.96</c:v>
                </c:pt>
                <c:pt idx="63" formatCode="General">
                  <c:v>0.96</c:v>
                </c:pt>
                <c:pt idx="65" formatCode="General">
                  <c:v>0.971</c:v>
                </c:pt>
                <c:pt idx="66" formatCode="General">
                  <c:v>0.965</c:v>
                </c:pt>
                <c:pt idx="67">
                  <c:v>0.94</c:v>
                </c:pt>
                <c:pt idx="70">
                  <c:v>0.956</c:v>
                </c:pt>
                <c:pt idx="71" formatCode="General">
                  <c:v>0.954</c:v>
                </c:pt>
                <c:pt idx="72" formatCode="General">
                  <c:v>0.952</c:v>
                </c:pt>
                <c:pt idx="73">
                  <c:v>0.95</c:v>
                </c:pt>
                <c:pt idx="74" formatCode="General">
                  <c:v>0.948</c:v>
                </c:pt>
                <c:pt idx="75">
                  <c:v>0.947</c:v>
                </c:pt>
                <c:pt idx="76" formatCode="General">
                  <c:v>0.946</c:v>
                </c:pt>
                <c:pt idx="77" formatCode="General">
                  <c:v>0.944</c:v>
                </c:pt>
                <c:pt idx="81" formatCode="General">
                  <c:v>0.939</c:v>
                </c:pt>
                <c:pt idx="82" formatCode="General">
                  <c:v>0.939</c:v>
                </c:pt>
                <c:pt idx="83">
                  <c:v>0.938</c:v>
                </c:pt>
                <c:pt idx="84">
                  <c:v>0.935</c:v>
                </c:pt>
                <c:pt idx="85">
                  <c:v>0.933</c:v>
                </c:pt>
                <c:pt idx="90">
                  <c:v>0.914</c:v>
                </c:pt>
                <c:pt idx="91">
                  <c:v>0.913</c:v>
                </c:pt>
                <c:pt idx="93">
                  <c:v>0.909</c:v>
                </c:pt>
                <c:pt idx="94">
                  <c:v>0.905</c:v>
                </c:pt>
                <c:pt idx="95">
                  <c:v>0.903</c:v>
                </c:pt>
                <c:pt idx="96">
                  <c:v>0.899</c:v>
                </c:pt>
                <c:pt idx="97">
                  <c:v>0.889</c:v>
                </c:pt>
              </c:numCache>
            </c:numRef>
          </c:xVal>
          <c:yVal>
            <c:numRef>
              <c:f>'NH3'!$V$20:$V$133</c:f>
              <c:numCache>
                <c:formatCode>General</c:formatCode>
                <c:ptCount val="114"/>
              </c:numCache>
            </c:numRef>
          </c:yVal>
          <c:smooth val="0"/>
        </c:ser>
        <c:ser>
          <c:idx val="1"/>
          <c:order val="1"/>
          <c:xVal>
            <c:numRef>
              <c:f>'NH3'!$U$20:$U$133</c:f>
              <c:numCache>
                <c:formatCode>0.000</c:formatCode>
                <c:ptCount val="114"/>
                <c:pt idx="0">
                  <c:v>0.891</c:v>
                </c:pt>
                <c:pt idx="1">
                  <c:v>0.9</c:v>
                </c:pt>
                <c:pt idx="2" formatCode="General">
                  <c:v>0.959</c:v>
                </c:pt>
                <c:pt idx="3">
                  <c:v>0.933</c:v>
                </c:pt>
                <c:pt idx="4">
                  <c:v>0.886</c:v>
                </c:pt>
                <c:pt idx="5" formatCode="General">
                  <c:v>0.954</c:v>
                </c:pt>
                <c:pt idx="6">
                  <c:v>0.99</c:v>
                </c:pt>
                <c:pt idx="7">
                  <c:v>0.97</c:v>
                </c:pt>
                <c:pt idx="8">
                  <c:v>0.957</c:v>
                </c:pt>
                <c:pt idx="9">
                  <c:v>0.951</c:v>
                </c:pt>
                <c:pt idx="10">
                  <c:v>0.95</c:v>
                </c:pt>
                <c:pt idx="11">
                  <c:v>0.945</c:v>
                </c:pt>
                <c:pt idx="12" formatCode="General">
                  <c:v>0.944</c:v>
                </c:pt>
                <c:pt idx="13">
                  <c:v>0.944</c:v>
                </c:pt>
                <c:pt idx="14">
                  <c:v>0.943</c:v>
                </c:pt>
                <c:pt idx="15">
                  <c:v>0.942</c:v>
                </c:pt>
                <c:pt idx="16" formatCode="General">
                  <c:v>0.935</c:v>
                </c:pt>
                <c:pt idx="17" formatCode="General">
                  <c:v>0.932</c:v>
                </c:pt>
                <c:pt idx="18">
                  <c:v>0.931</c:v>
                </c:pt>
                <c:pt idx="19">
                  <c:v>0.93</c:v>
                </c:pt>
                <c:pt idx="20" formatCode="General">
                  <c:v>0.927</c:v>
                </c:pt>
                <c:pt idx="21" formatCode="General">
                  <c:v>0.919</c:v>
                </c:pt>
                <c:pt idx="22">
                  <c:v>0.914</c:v>
                </c:pt>
                <c:pt idx="23" formatCode="General">
                  <c:v>0.904</c:v>
                </c:pt>
                <c:pt idx="24" formatCode="General">
                  <c:v>0.894</c:v>
                </c:pt>
                <c:pt idx="25" formatCode="General">
                  <c:v>0.876</c:v>
                </c:pt>
                <c:pt idx="26">
                  <c:v>0.864</c:v>
                </c:pt>
                <c:pt idx="27" formatCode="General">
                  <c:v>0.858</c:v>
                </c:pt>
                <c:pt idx="28">
                  <c:v>0.85</c:v>
                </c:pt>
                <c:pt idx="29">
                  <c:v>0.849</c:v>
                </c:pt>
                <c:pt idx="30">
                  <c:v>0.823</c:v>
                </c:pt>
                <c:pt idx="31">
                  <c:v>0.82</c:v>
                </c:pt>
                <c:pt idx="32">
                  <c:v>0.8</c:v>
                </c:pt>
                <c:pt idx="33">
                  <c:v>0.796</c:v>
                </c:pt>
                <c:pt idx="34">
                  <c:v>0.794</c:v>
                </c:pt>
                <c:pt idx="35" formatCode="General">
                  <c:v>0.789</c:v>
                </c:pt>
                <c:pt idx="36">
                  <c:v>0.76</c:v>
                </c:pt>
                <c:pt idx="37">
                  <c:v>0.947</c:v>
                </c:pt>
                <c:pt idx="38">
                  <c:v>0.857</c:v>
                </c:pt>
                <c:pt idx="39">
                  <c:v>0.933</c:v>
                </c:pt>
                <c:pt idx="40" formatCode="General">
                  <c:v>0.953</c:v>
                </c:pt>
                <c:pt idx="41">
                  <c:v>0.915</c:v>
                </c:pt>
                <c:pt idx="42">
                  <c:v>0.906</c:v>
                </c:pt>
                <c:pt idx="43" formatCode="General">
                  <c:v>0.95</c:v>
                </c:pt>
                <c:pt idx="44">
                  <c:v>0.92</c:v>
                </c:pt>
                <c:pt idx="47">
                  <c:v>0.915</c:v>
                </c:pt>
                <c:pt idx="48">
                  <c:v>0.92</c:v>
                </c:pt>
                <c:pt idx="49" formatCode="General">
                  <c:v>0.98</c:v>
                </c:pt>
                <c:pt idx="50" formatCode="General">
                  <c:v>0.97</c:v>
                </c:pt>
                <c:pt idx="51">
                  <c:v>0.959</c:v>
                </c:pt>
                <c:pt idx="52">
                  <c:v>0.913</c:v>
                </c:pt>
                <c:pt idx="53">
                  <c:v>0.934</c:v>
                </c:pt>
                <c:pt idx="54">
                  <c:v>0.885</c:v>
                </c:pt>
                <c:pt idx="61" formatCode="General">
                  <c:v>0.97</c:v>
                </c:pt>
                <c:pt idx="62" formatCode="General">
                  <c:v>0.96</c:v>
                </c:pt>
                <c:pt idx="63" formatCode="General">
                  <c:v>0.96</c:v>
                </c:pt>
                <c:pt idx="65" formatCode="General">
                  <c:v>0.971</c:v>
                </c:pt>
                <c:pt idx="66" formatCode="General">
                  <c:v>0.965</c:v>
                </c:pt>
                <c:pt idx="67">
                  <c:v>0.94</c:v>
                </c:pt>
                <c:pt idx="70">
                  <c:v>0.956</c:v>
                </c:pt>
                <c:pt idx="71" formatCode="General">
                  <c:v>0.954</c:v>
                </c:pt>
                <c:pt idx="72" formatCode="General">
                  <c:v>0.952</c:v>
                </c:pt>
                <c:pt idx="73">
                  <c:v>0.95</c:v>
                </c:pt>
                <c:pt idx="74" formatCode="General">
                  <c:v>0.948</c:v>
                </c:pt>
                <c:pt idx="75">
                  <c:v>0.947</c:v>
                </c:pt>
                <c:pt idx="76" formatCode="General">
                  <c:v>0.946</c:v>
                </c:pt>
                <c:pt idx="77" formatCode="General">
                  <c:v>0.944</c:v>
                </c:pt>
                <c:pt idx="81" formatCode="General">
                  <c:v>0.939</c:v>
                </c:pt>
                <c:pt idx="82" formatCode="General">
                  <c:v>0.939</c:v>
                </c:pt>
                <c:pt idx="83">
                  <c:v>0.938</c:v>
                </c:pt>
                <c:pt idx="84">
                  <c:v>0.935</c:v>
                </c:pt>
                <c:pt idx="85">
                  <c:v>0.933</c:v>
                </c:pt>
                <c:pt idx="90">
                  <c:v>0.914</c:v>
                </c:pt>
                <c:pt idx="91">
                  <c:v>0.913</c:v>
                </c:pt>
                <c:pt idx="93">
                  <c:v>0.909</c:v>
                </c:pt>
                <c:pt idx="94">
                  <c:v>0.905</c:v>
                </c:pt>
                <c:pt idx="95">
                  <c:v>0.903</c:v>
                </c:pt>
                <c:pt idx="96">
                  <c:v>0.899</c:v>
                </c:pt>
                <c:pt idx="97">
                  <c:v>0.889</c:v>
                </c:pt>
              </c:numCache>
            </c:numRef>
          </c:xVal>
          <c:yVal>
            <c:numRef>
              <c:f>'NH3'!$W$20:$W$133</c:f>
              <c:numCache>
                <c:formatCode>General</c:formatCode>
                <c:ptCount val="114"/>
              </c:numCache>
            </c:numRef>
          </c:yVal>
          <c:smooth val="0"/>
        </c:ser>
        <c:ser>
          <c:idx val="2"/>
          <c:order val="2"/>
          <c:tx>
            <c:v>NH3</c:v>
          </c:tx>
          <c:spPr>
            <a:ln w="47625">
              <a:noFill/>
            </a:ln>
          </c:spPr>
          <c:xVal>
            <c:numRef>
              <c:f>'NH3'!$U$20:$U$133</c:f>
              <c:numCache>
                <c:formatCode>0.000</c:formatCode>
                <c:ptCount val="114"/>
                <c:pt idx="0">
                  <c:v>0.891</c:v>
                </c:pt>
                <c:pt idx="1">
                  <c:v>0.9</c:v>
                </c:pt>
                <c:pt idx="2" formatCode="General">
                  <c:v>0.959</c:v>
                </c:pt>
                <c:pt idx="3">
                  <c:v>0.933</c:v>
                </c:pt>
                <c:pt idx="4">
                  <c:v>0.886</c:v>
                </c:pt>
                <c:pt idx="5" formatCode="General">
                  <c:v>0.954</c:v>
                </c:pt>
                <c:pt idx="6">
                  <c:v>0.99</c:v>
                </c:pt>
                <c:pt idx="7">
                  <c:v>0.97</c:v>
                </c:pt>
                <c:pt idx="8">
                  <c:v>0.957</c:v>
                </c:pt>
                <c:pt idx="9">
                  <c:v>0.951</c:v>
                </c:pt>
                <c:pt idx="10">
                  <c:v>0.95</c:v>
                </c:pt>
                <c:pt idx="11">
                  <c:v>0.945</c:v>
                </c:pt>
                <c:pt idx="12" formatCode="General">
                  <c:v>0.944</c:v>
                </c:pt>
                <c:pt idx="13">
                  <c:v>0.944</c:v>
                </c:pt>
                <c:pt idx="14">
                  <c:v>0.943</c:v>
                </c:pt>
                <c:pt idx="15">
                  <c:v>0.942</c:v>
                </c:pt>
                <c:pt idx="16" formatCode="General">
                  <c:v>0.935</c:v>
                </c:pt>
                <c:pt idx="17" formatCode="General">
                  <c:v>0.932</c:v>
                </c:pt>
                <c:pt idx="18">
                  <c:v>0.931</c:v>
                </c:pt>
                <c:pt idx="19">
                  <c:v>0.93</c:v>
                </c:pt>
                <c:pt idx="20" formatCode="General">
                  <c:v>0.927</c:v>
                </c:pt>
                <c:pt idx="21" formatCode="General">
                  <c:v>0.919</c:v>
                </c:pt>
                <c:pt idx="22">
                  <c:v>0.914</c:v>
                </c:pt>
                <c:pt idx="23" formatCode="General">
                  <c:v>0.904</c:v>
                </c:pt>
                <c:pt idx="24" formatCode="General">
                  <c:v>0.894</c:v>
                </c:pt>
                <c:pt idx="25" formatCode="General">
                  <c:v>0.876</c:v>
                </c:pt>
                <c:pt idx="26">
                  <c:v>0.864</c:v>
                </c:pt>
                <c:pt idx="27" formatCode="General">
                  <c:v>0.858</c:v>
                </c:pt>
                <c:pt idx="28">
                  <c:v>0.85</c:v>
                </c:pt>
                <c:pt idx="29">
                  <c:v>0.849</c:v>
                </c:pt>
                <c:pt idx="30">
                  <c:v>0.823</c:v>
                </c:pt>
                <c:pt idx="31">
                  <c:v>0.82</c:v>
                </c:pt>
                <c:pt idx="32">
                  <c:v>0.8</c:v>
                </c:pt>
                <c:pt idx="33">
                  <c:v>0.796</c:v>
                </c:pt>
                <c:pt idx="34">
                  <c:v>0.794</c:v>
                </c:pt>
                <c:pt idx="35" formatCode="General">
                  <c:v>0.789</c:v>
                </c:pt>
                <c:pt idx="36">
                  <c:v>0.76</c:v>
                </c:pt>
                <c:pt idx="37">
                  <c:v>0.947</c:v>
                </c:pt>
                <c:pt idx="38">
                  <c:v>0.857</c:v>
                </c:pt>
                <c:pt idx="39">
                  <c:v>0.933</c:v>
                </c:pt>
                <c:pt idx="40" formatCode="General">
                  <c:v>0.953</c:v>
                </c:pt>
                <c:pt idx="41">
                  <c:v>0.915</c:v>
                </c:pt>
                <c:pt idx="42">
                  <c:v>0.906</c:v>
                </c:pt>
                <c:pt idx="43" formatCode="General">
                  <c:v>0.95</c:v>
                </c:pt>
                <c:pt idx="44">
                  <c:v>0.92</c:v>
                </c:pt>
                <c:pt idx="47">
                  <c:v>0.915</c:v>
                </c:pt>
                <c:pt idx="48">
                  <c:v>0.92</c:v>
                </c:pt>
                <c:pt idx="49" formatCode="General">
                  <c:v>0.98</c:v>
                </c:pt>
                <c:pt idx="50" formatCode="General">
                  <c:v>0.97</c:v>
                </c:pt>
                <c:pt idx="51">
                  <c:v>0.959</c:v>
                </c:pt>
                <c:pt idx="52">
                  <c:v>0.913</c:v>
                </c:pt>
                <c:pt idx="53">
                  <c:v>0.934</c:v>
                </c:pt>
                <c:pt idx="54">
                  <c:v>0.885</c:v>
                </c:pt>
                <c:pt idx="61" formatCode="General">
                  <c:v>0.97</c:v>
                </c:pt>
                <c:pt idx="62" formatCode="General">
                  <c:v>0.96</c:v>
                </c:pt>
                <c:pt idx="63" formatCode="General">
                  <c:v>0.96</c:v>
                </c:pt>
                <c:pt idx="65" formatCode="General">
                  <c:v>0.971</c:v>
                </c:pt>
                <c:pt idx="66" formatCode="General">
                  <c:v>0.965</c:v>
                </c:pt>
                <c:pt idx="67">
                  <c:v>0.94</c:v>
                </c:pt>
                <c:pt idx="70">
                  <c:v>0.956</c:v>
                </c:pt>
                <c:pt idx="71" formatCode="General">
                  <c:v>0.954</c:v>
                </c:pt>
                <c:pt idx="72" formatCode="General">
                  <c:v>0.952</c:v>
                </c:pt>
                <c:pt idx="73">
                  <c:v>0.95</c:v>
                </c:pt>
                <c:pt idx="74" formatCode="General">
                  <c:v>0.948</c:v>
                </c:pt>
                <c:pt idx="75">
                  <c:v>0.947</c:v>
                </c:pt>
                <c:pt idx="76" formatCode="General">
                  <c:v>0.946</c:v>
                </c:pt>
                <c:pt idx="77" formatCode="General">
                  <c:v>0.944</c:v>
                </c:pt>
                <c:pt idx="81" formatCode="General">
                  <c:v>0.939</c:v>
                </c:pt>
                <c:pt idx="82" formatCode="General">
                  <c:v>0.939</c:v>
                </c:pt>
                <c:pt idx="83">
                  <c:v>0.938</c:v>
                </c:pt>
                <c:pt idx="84">
                  <c:v>0.935</c:v>
                </c:pt>
                <c:pt idx="85">
                  <c:v>0.933</c:v>
                </c:pt>
                <c:pt idx="90">
                  <c:v>0.914</c:v>
                </c:pt>
                <c:pt idx="91">
                  <c:v>0.913</c:v>
                </c:pt>
                <c:pt idx="93">
                  <c:v>0.909</c:v>
                </c:pt>
                <c:pt idx="94">
                  <c:v>0.905</c:v>
                </c:pt>
                <c:pt idx="95">
                  <c:v>0.903</c:v>
                </c:pt>
                <c:pt idx="96">
                  <c:v>0.899</c:v>
                </c:pt>
                <c:pt idx="97">
                  <c:v>0.889</c:v>
                </c:pt>
              </c:numCache>
            </c:numRef>
          </c:xVal>
          <c:yVal>
            <c:numRef>
              <c:f>'NH3'!$Y$20:$Y$133</c:f>
              <c:numCache>
                <c:formatCode>0.0</c:formatCode>
                <c:ptCount val="114"/>
                <c:pt idx="0">
                  <c:v>1.1</c:v>
                </c:pt>
                <c:pt idx="1">
                  <c:v>1.8</c:v>
                </c:pt>
                <c:pt idx="2" formatCode="0.000">
                  <c:v>0.354</c:v>
                </c:pt>
                <c:pt idx="3">
                  <c:v>2.6</c:v>
                </c:pt>
                <c:pt idx="4">
                  <c:v>3.7</c:v>
                </c:pt>
                <c:pt idx="5" formatCode="0.000">
                  <c:v>0.52</c:v>
                </c:pt>
                <c:pt idx="6">
                  <c:v>0.53</c:v>
                </c:pt>
                <c:pt idx="7">
                  <c:v>0.38</c:v>
                </c:pt>
                <c:pt idx="8" formatCode="General">
                  <c:v>0.12</c:v>
                </c:pt>
                <c:pt idx="9" formatCode="General">
                  <c:v>0.23</c:v>
                </c:pt>
                <c:pt idx="10">
                  <c:v>0.1505</c:v>
                </c:pt>
                <c:pt idx="11" formatCode="General">
                  <c:v>0.19</c:v>
                </c:pt>
                <c:pt idx="12" formatCode="General">
                  <c:v>0.06</c:v>
                </c:pt>
                <c:pt idx="13">
                  <c:v>3.6</c:v>
                </c:pt>
                <c:pt idx="14" formatCode="General">
                  <c:v>0.23</c:v>
                </c:pt>
                <c:pt idx="15" formatCode="General">
                  <c:v>0.074</c:v>
                </c:pt>
                <c:pt idx="16" formatCode="General">
                  <c:v>0.14</c:v>
                </c:pt>
                <c:pt idx="17" formatCode="General">
                  <c:v>0.11</c:v>
                </c:pt>
                <c:pt idx="18" formatCode="General">
                  <c:v>0.03</c:v>
                </c:pt>
                <c:pt idx="19">
                  <c:v>2.0</c:v>
                </c:pt>
                <c:pt idx="20" formatCode="0.00">
                  <c:v>0.56</c:v>
                </c:pt>
                <c:pt idx="21" formatCode="General">
                  <c:v>0.13</c:v>
                </c:pt>
                <c:pt idx="22" formatCode="General">
                  <c:v>0.02</c:v>
                </c:pt>
                <c:pt idx="23" formatCode="General">
                  <c:v>0.13</c:v>
                </c:pt>
                <c:pt idx="24" formatCode="0.000">
                  <c:v>0.952</c:v>
                </c:pt>
                <c:pt idx="25" formatCode="General">
                  <c:v>0.05</c:v>
                </c:pt>
                <c:pt idx="26" formatCode="General">
                  <c:v>0.14</c:v>
                </c:pt>
                <c:pt idx="27" formatCode="General">
                  <c:v>0.23</c:v>
                </c:pt>
                <c:pt idx="28">
                  <c:v>0.4982</c:v>
                </c:pt>
                <c:pt idx="29" formatCode="General">
                  <c:v>1.18</c:v>
                </c:pt>
                <c:pt idx="30" formatCode="General">
                  <c:v>0.58</c:v>
                </c:pt>
                <c:pt idx="31">
                  <c:v>5.3</c:v>
                </c:pt>
                <c:pt idx="32" formatCode="General">
                  <c:v>1.45</c:v>
                </c:pt>
                <c:pt idx="33" formatCode="General">
                  <c:v>0.23</c:v>
                </c:pt>
                <c:pt idx="34" formatCode="General">
                  <c:v>0.11</c:v>
                </c:pt>
                <c:pt idx="35" formatCode="General">
                  <c:v>0.33</c:v>
                </c:pt>
                <c:pt idx="36">
                  <c:v>2.12</c:v>
                </c:pt>
                <c:pt idx="37">
                  <c:v>1.3</c:v>
                </c:pt>
                <c:pt idx="38">
                  <c:v>6.6</c:v>
                </c:pt>
                <c:pt idx="39">
                  <c:v>0.9</c:v>
                </c:pt>
                <c:pt idx="40" formatCode="0.000">
                  <c:v>0.472</c:v>
                </c:pt>
                <c:pt idx="41">
                  <c:v>1.8</c:v>
                </c:pt>
                <c:pt idx="42">
                  <c:v>1.6</c:v>
                </c:pt>
                <c:pt idx="43" formatCode="General">
                  <c:v>0.282</c:v>
                </c:pt>
                <c:pt idx="44">
                  <c:v>2.1</c:v>
                </c:pt>
                <c:pt idx="45" formatCode="General">
                  <c:v>0.6</c:v>
                </c:pt>
                <c:pt idx="46" formatCode="General">
                  <c:v>2.0</c:v>
                </c:pt>
                <c:pt idx="47">
                  <c:v>1.7</c:v>
                </c:pt>
                <c:pt idx="48">
                  <c:v>1.6</c:v>
                </c:pt>
                <c:pt idx="49" formatCode="General">
                  <c:v>0.195</c:v>
                </c:pt>
                <c:pt idx="50" formatCode="General">
                  <c:v>0.43</c:v>
                </c:pt>
                <c:pt idx="51" formatCode="General">
                  <c:v>0.276</c:v>
                </c:pt>
                <c:pt idx="52" formatCode="General">
                  <c:v>1.23</c:v>
                </c:pt>
                <c:pt idx="53" formatCode="General">
                  <c:v>1.464</c:v>
                </c:pt>
                <c:pt idx="54" formatCode="General">
                  <c:v>1.84</c:v>
                </c:pt>
                <c:pt idx="55" formatCode="General">
                  <c:v>0.43</c:v>
                </c:pt>
                <c:pt idx="56" formatCode="General">
                  <c:v>0.27</c:v>
                </c:pt>
                <c:pt idx="57" formatCode="General">
                  <c:v>1.98</c:v>
                </c:pt>
                <c:pt idx="58" formatCode="General">
                  <c:v>2.18</c:v>
                </c:pt>
                <c:pt idx="59" formatCode="General">
                  <c:v>5.04</c:v>
                </c:pt>
                <c:pt idx="60" formatCode="General">
                  <c:v>6.29</c:v>
                </c:pt>
                <c:pt idx="61" formatCode="General">
                  <c:v>0.207</c:v>
                </c:pt>
                <c:pt idx="62" formatCode="General">
                  <c:v>0.314</c:v>
                </c:pt>
                <c:pt idx="63" formatCode="General">
                  <c:v>0.366</c:v>
                </c:pt>
                <c:pt idx="64" formatCode="General">
                  <c:v>0.53</c:v>
                </c:pt>
                <c:pt idx="65" formatCode="0.000">
                  <c:v>0.269</c:v>
                </c:pt>
                <c:pt idx="66" formatCode="0.000">
                  <c:v>0.58</c:v>
                </c:pt>
                <c:pt idx="67" formatCode="General">
                  <c:v>0.95</c:v>
                </c:pt>
                <c:pt idx="68" formatCode="General">
                  <c:v>0.09</c:v>
                </c:pt>
                <c:pt idx="69" formatCode="General">
                  <c:v>1.7</c:v>
                </c:pt>
                <c:pt idx="70">
                  <c:v>0.8</c:v>
                </c:pt>
                <c:pt idx="71" formatCode="0.000">
                  <c:v>0.717</c:v>
                </c:pt>
                <c:pt idx="72" formatCode="0.000">
                  <c:v>0.769</c:v>
                </c:pt>
                <c:pt idx="73" formatCode="General">
                  <c:v>0.52</c:v>
                </c:pt>
                <c:pt idx="74" formatCode="0.000">
                  <c:v>0.411</c:v>
                </c:pt>
                <c:pt idx="75" formatCode="General">
                  <c:v>0.41</c:v>
                </c:pt>
                <c:pt idx="76" formatCode="0.000">
                  <c:v>0.54</c:v>
                </c:pt>
                <c:pt idx="77" formatCode="0.000">
                  <c:v>0.734</c:v>
                </c:pt>
                <c:pt idx="78" formatCode="General">
                  <c:v>1.632</c:v>
                </c:pt>
                <c:pt idx="79" formatCode="General">
                  <c:v>0.912</c:v>
                </c:pt>
                <c:pt idx="80" formatCode="General">
                  <c:v>0.65</c:v>
                </c:pt>
                <c:pt idx="81" formatCode="0.000">
                  <c:v>0.512</c:v>
                </c:pt>
                <c:pt idx="82" formatCode="0.000">
                  <c:v>0.522</c:v>
                </c:pt>
                <c:pt idx="83" formatCode="General">
                  <c:v>1.13</c:v>
                </c:pt>
                <c:pt idx="84">
                  <c:v>0.8</c:v>
                </c:pt>
                <c:pt idx="85" formatCode="General">
                  <c:v>1.76</c:v>
                </c:pt>
                <c:pt idx="86" formatCode="General">
                  <c:v>4.004</c:v>
                </c:pt>
                <c:pt idx="87" formatCode="General">
                  <c:v>1.924</c:v>
                </c:pt>
                <c:pt idx="88" formatCode="General">
                  <c:v>3.196</c:v>
                </c:pt>
                <c:pt idx="89" formatCode="General">
                  <c:v>2.8</c:v>
                </c:pt>
                <c:pt idx="90">
                  <c:v>1.2</c:v>
                </c:pt>
                <c:pt idx="91">
                  <c:v>1.4</c:v>
                </c:pt>
                <c:pt idx="92" formatCode="General">
                  <c:v>1.96</c:v>
                </c:pt>
                <c:pt idx="93">
                  <c:v>1.5</c:v>
                </c:pt>
                <c:pt idx="94">
                  <c:v>2.7</c:v>
                </c:pt>
                <c:pt idx="95" formatCode="General">
                  <c:v>4.24</c:v>
                </c:pt>
                <c:pt idx="96">
                  <c:v>2.0</c:v>
                </c:pt>
                <c:pt idx="97">
                  <c:v>4.0</c:v>
                </c:pt>
                <c:pt idx="98" formatCode="General">
                  <c:v>0.345</c:v>
                </c:pt>
                <c:pt idx="107" formatCode="General">
                  <c:v>1.3</c:v>
                </c:pt>
                <c:pt idx="108" formatCode="General">
                  <c:v>1.3</c:v>
                </c:pt>
                <c:pt idx="109" formatCode="General">
                  <c:v>1.3</c:v>
                </c:pt>
                <c:pt idx="110" formatCode="General">
                  <c:v>0.09</c:v>
                </c:pt>
                <c:pt idx="111" formatCode="General">
                  <c:v>1.4</c:v>
                </c:pt>
                <c:pt idx="112" formatCode="General">
                  <c:v>0.6</c:v>
                </c:pt>
                <c:pt idx="113" formatCode="General">
                  <c:v>1.3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0660520"/>
        <c:axId val="-2110609240"/>
      </c:scatterChart>
      <c:valAx>
        <c:axId val="-2110660520"/>
        <c:scaling>
          <c:orientation val="minMax"/>
          <c:max val="1.0"/>
          <c:min val="0.75"/>
        </c:scaling>
        <c:delete val="0"/>
        <c:axPos val="b"/>
        <c:numFmt formatCode="0.000" sourceLinked="1"/>
        <c:majorTickMark val="out"/>
        <c:minorTickMark val="none"/>
        <c:tickLblPos val="nextTo"/>
        <c:crossAx val="-2110609240"/>
        <c:crosses val="autoZero"/>
        <c:crossBetween val="midCat"/>
      </c:valAx>
      <c:valAx>
        <c:axId val="-2110609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1066052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244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430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73"/>
  <sheetViews>
    <sheetView workbookViewId="0">
      <pane ySplit="540" topLeftCell="A117" activePane="bottomLeft"/>
      <selection activeCell="X1" sqref="X1:X2"/>
      <selection pane="bottomLeft" activeCell="A150" sqref="A150:D164"/>
    </sheetView>
  </sheetViews>
  <sheetFormatPr baseColWidth="10" defaultColWidth="11" defaultRowHeight="14" x14ac:dyDescent="0"/>
  <cols>
    <col min="1" max="1" width="11" style="134"/>
    <col min="2" max="2" width="18.83203125" style="134" bestFit="1" customWidth="1"/>
    <col min="3" max="3" width="10.83203125" style="134" customWidth="1"/>
    <col min="4" max="4" width="21" style="134" customWidth="1"/>
    <col min="5" max="5" width="13.33203125" style="134" customWidth="1"/>
    <col min="6" max="6" width="14.1640625" style="134" customWidth="1"/>
    <col min="7" max="7" width="10.83203125" style="134" customWidth="1"/>
    <col min="8" max="9" width="11" style="134"/>
    <col min="10" max="10" width="17.6640625" style="134" bestFit="1" customWidth="1"/>
    <col min="11" max="11" width="35.1640625" style="134" bestFit="1" customWidth="1"/>
    <col min="12" max="12" width="36" style="134" customWidth="1"/>
    <col min="13" max="13" width="22.5" style="134" customWidth="1"/>
    <col min="14" max="14" width="16" style="134" customWidth="1"/>
    <col min="15" max="15" width="23.5" style="134" bestFit="1" customWidth="1"/>
    <col min="16" max="20" width="10.83203125" style="134" customWidth="1"/>
    <col min="21" max="21" width="7" style="134" bestFit="1" customWidth="1"/>
    <col min="22" max="24" width="10.83203125" style="134" customWidth="1"/>
    <col min="25" max="25" width="12.33203125" style="134" customWidth="1"/>
    <col min="26" max="26" width="11" style="134"/>
    <col min="27" max="27" width="14.5" style="134" customWidth="1"/>
    <col min="28" max="39" width="11" style="134"/>
    <col min="40" max="16384" width="11" style="81"/>
  </cols>
  <sheetData>
    <row r="1" spans="1:39">
      <c r="A1" s="90" t="s">
        <v>0</v>
      </c>
      <c r="B1" s="90" t="s">
        <v>1</v>
      </c>
      <c r="C1" s="91" t="s">
        <v>2</v>
      </c>
      <c r="D1" s="91" t="s">
        <v>3</v>
      </c>
      <c r="E1" s="90" t="s">
        <v>4</v>
      </c>
      <c r="F1" s="90" t="s">
        <v>5</v>
      </c>
      <c r="G1" s="90" t="s">
        <v>6</v>
      </c>
      <c r="H1" s="90" t="s">
        <v>7</v>
      </c>
      <c r="I1" s="90" t="s">
        <v>589</v>
      </c>
      <c r="J1" s="90" t="s">
        <v>702</v>
      </c>
      <c r="K1" s="90" t="s">
        <v>606</v>
      </c>
      <c r="L1" s="90" t="s">
        <v>8</v>
      </c>
      <c r="M1" s="90" t="s">
        <v>9</v>
      </c>
      <c r="N1" s="90" t="s">
        <v>10</v>
      </c>
      <c r="O1" s="90" t="s">
        <v>11</v>
      </c>
      <c r="P1" s="90" t="s">
        <v>807</v>
      </c>
      <c r="Q1" s="90" t="s">
        <v>808</v>
      </c>
      <c r="R1" s="90" t="s">
        <v>787</v>
      </c>
      <c r="S1" s="90" t="s">
        <v>809</v>
      </c>
      <c r="T1" s="90" t="s">
        <v>810</v>
      </c>
      <c r="U1" s="90" t="s">
        <v>539</v>
      </c>
      <c r="V1" s="90" t="s">
        <v>12</v>
      </c>
      <c r="W1" s="90" t="s">
        <v>13</v>
      </c>
      <c r="X1" s="90" t="s">
        <v>811</v>
      </c>
      <c r="Y1" s="90" t="s">
        <v>14</v>
      </c>
      <c r="Z1" s="90" t="s">
        <v>812</v>
      </c>
    </row>
    <row r="2" spans="1:39">
      <c r="A2" s="110">
        <v>174</v>
      </c>
      <c r="B2" s="114" t="s">
        <v>407</v>
      </c>
      <c r="C2" s="114">
        <v>2009</v>
      </c>
      <c r="D2" s="122" t="s">
        <v>408</v>
      </c>
      <c r="E2" s="113" t="s">
        <v>16</v>
      </c>
      <c r="F2" s="123" t="s">
        <v>410</v>
      </c>
      <c r="G2" s="114"/>
      <c r="H2" s="114"/>
      <c r="I2" s="114"/>
      <c r="J2" s="114" t="s">
        <v>747</v>
      </c>
      <c r="K2" s="114" t="s">
        <v>646</v>
      </c>
      <c r="L2" s="114" t="s">
        <v>433</v>
      </c>
      <c r="M2" s="121"/>
      <c r="N2" s="121"/>
      <c r="O2" s="114" t="s">
        <v>433</v>
      </c>
      <c r="P2" s="120"/>
      <c r="Q2" s="120"/>
      <c r="R2" s="114"/>
      <c r="S2" s="114"/>
      <c r="T2" s="114"/>
      <c r="U2" s="125">
        <v>0.94299999999999995</v>
      </c>
      <c r="V2" s="114"/>
      <c r="W2" s="114"/>
      <c r="X2" s="134">
        <f t="shared" ref="X2:X33" si="0">IF(R2&lt;&gt;0,IF(R2&gt;1,R2/100,R2),IF(U2&lt;&gt;0,IF(U2&gt;1,U2/100,U2),""))</f>
        <v>0.94299999999999995</v>
      </c>
      <c r="Y2" s="126">
        <v>2.2000000000000002</v>
      </c>
      <c r="Z2" s="135" t="str">
        <f t="shared" ref="Z2:Z33" si="1">IF(X2&lt;&gt;"",IF(X2&lt;0.9,"S","F"),"")</f>
        <v>F</v>
      </c>
    </row>
    <row r="3" spans="1:39" s="139" customFormat="1">
      <c r="A3" s="154"/>
      <c r="B3" s="154" t="s">
        <v>537</v>
      </c>
      <c r="C3" s="154">
        <v>1993</v>
      </c>
      <c r="D3" s="154"/>
      <c r="E3" s="154" t="s">
        <v>561</v>
      </c>
      <c r="F3" s="154"/>
      <c r="G3" s="154"/>
      <c r="H3" s="154" t="s">
        <v>116</v>
      </c>
      <c r="I3" s="154"/>
      <c r="J3" s="154" t="s">
        <v>710</v>
      </c>
      <c r="K3" s="154" t="s">
        <v>676</v>
      </c>
      <c r="L3" s="136" t="s">
        <v>117</v>
      </c>
      <c r="M3" s="136"/>
      <c r="N3" s="136"/>
      <c r="O3" s="136" t="s">
        <v>538</v>
      </c>
      <c r="P3" s="136"/>
      <c r="Q3" s="136"/>
      <c r="R3" s="136"/>
      <c r="S3" s="136"/>
      <c r="T3" s="136"/>
      <c r="U3" s="136"/>
      <c r="V3" s="136"/>
      <c r="W3" s="136"/>
      <c r="X3" s="137" t="str">
        <f t="shared" si="0"/>
        <v/>
      </c>
      <c r="Y3" s="136">
        <v>0.64</v>
      </c>
      <c r="Z3" s="138" t="str">
        <f t="shared" si="1"/>
        <v/>
      </c>
      <c r="AA3" s="159" t="str">
        <f>+J3</f>
        <v>N conifer</v>
      </c>
      <c r="AB3" s="157" t="s">
        <v>814</v>
      </c>
      <c r="AC3" s="157" t="s">
        <v>815</v>
      </c>
      <c r="AD3" s="157" t="s">
        <v>816</v>
      </c>
      <c r="AE3" s="157" t="s">
        <v>817</v>
      </c>
      <c r="AF3" s="157" t="s">
        <v>818</v>
      </c>
      <c r="AG3" s="157" t="s">
        <v>819</v>
      </c>
      <c r="AH3" s="137"/>
      <c r="AI3" s="137"/>
      <c r="AJ3" s="137"/>
      <c r="AK3" s="137"/>
      <c r="AL3" s="137"/>
      <c r="AM3" s="137"/>
    </row>
    <row r="4" spans="1:39" s="139" customFormat="1">
      <c r="A4" s="140">
        <v>174</v>
      </c>
      <c r="B4" s="136" t="s">
        <v>407</v>
      </c>
      <c r="C4" s="136">
        <v>2009</v>
      </c>
      <c r="D4" s="141" t="s">
        <v>408</v>
      </c>
      <c r="E4" s="142" t="s">
        <v>16</v>
      </c>
      <c r="F4" s="143" t="s">
        <v>410</v>
      </c>
      <c r="G4" s="136" t="s">
        <v>115</v>
      </c>
      <c r="H4" s="136" t="s">
        <v>116</v>
      </c>
      <c r="I4" s="136"/>
      <c r="J4" s="136" t="s">
        <v>710</v>
      </c>
      <c r="K4" s="136" t="s">
        <v>676</v>
      </c>
      <c r="L4" s="136" t="s">
        <v>446</v>
      </c>
      <c r="M4" s="144"/>
      <c r="N4" s="144"/>
      <c r="O4" s="136" t="s">
        <v>446</v>
      </c>
      <c r="P4" s="145"/>
      <c r="Q4" s="145"/>
      <c r="R4" s="136"/>
      <c r="S4" s="136"/>
      <c r="T4" s="136"/>
      <c r="U4" s="146">
        <v>0.95699999999999996</v>
      </c>
      <c r="V4" s="136"/>
      <c r="W4" s="136"/>
      <c r="X4" s="137">
        <f t="shared" si="0"/>
        <v>0.95699999999999996</v>
      </c>
      <c r="Y4" s="147">
        <v>0.7</v>
      </c>
      <c r="Z4" s="138" t="str">
        <f t="shared" si="1"/>
        <v>F</v>
      </c>
      <c r="AA4" s="157" t="s">
        <v>813</v>
      </c>
      <c r="AB4" s="158">
        <f>AVERAGE($Y$3:$Y$9)</f>
        <v>2.072857142857143</v>
      </c>
      <c r="AC4" s="158">
        <f>MEDIAN($Y$3:$Y$9)</f>
        <v>0.7</v>
      </c>
      <c r="AD4" s="158">
        <f>MAX($Y$3:$Y$9)</f>
        <v>8.69</v>
      </c>
      <c r="AE4" s="158">
        <f>MIN($Y$3:$Y$9)</f>
        <v>0.59</v>
      </c>
      <c r="AF4" s="158">
        <f>STDEV($Y$3:$Y$9)</f>
        <v>2.9520259387168575</v>
      </c>
      <c r="AG4" s="157">
        <f>COUNT($Y$3:$Y$9)</f>
        <v>7</v>
      </c>
      <c r="AH4" s="137"/>
      <c r="AI4" s="137"/>
      <c r="AJ4" s="137"/>
      <c r="AK4" s="137"/>
      <c r="AL4" s="137"/>
      <c r="AM4" s="137"/>
    </row>
    <row r="5" spans="1:39" s="139" customFormat="1">
      <c r="A5" s="140">
        <v>119</v>
      </c>
      <c r="B5" s="145" t="s">
        <v>199</v>
      </c>
      <c r="C5" s="145">
        <v>2000</v>
      </c>
      <c r="D5" s="145" t="s">
        <v>205</v>
      </c>
      <c r="E5" s="142" t="s">
        <v>207</v>
      </c>
      <c r="F5" s="148">
        <v>35603</v>
      </c>
      <c r="G5" s="136" t="s">
        <v>218</v>
      </c>
      <c r="H5" s="136" t="s">
        <v>116</v>
      </c>
      <c r="I5" s="136" t="s">
        <v>590</v>
      </c>
      <c r="J5" s="136" t="s">
        <v>710</v>
      </c>
      <c r="K5" s="136" t="s">
        <v>676</v>
      </c>
      <c r="L5" s="136" t="s">
        <v>215</v>
      </c>
      <c r="M5" s="136" t="s">
        <v>117</v>
      </c>
      <c r="N5" s="145"/>
      <c r="O5" s="145" t="s">
        <v>219</v>
      </c>
      <c r="P5" s="136"/>
      <c r="Q5" s="136"/>
      <c r="R5" s="145"/>
      <c r="S5" s="145"/>
      <c r="T5" s="145"/>
      <c r="U5" s="136">
        <v>0.92900000000000005</v>
      </c>
      <c r="V5" s="149"/>
      <c r="W5" s="149"/>
      <c r="X5" s="137">
        <f t="shared" si="0"/>
        <v>0.92900000000000005</v>
      </c>
      <c r="Y5" s="149">
        <v>0.59</v>
      </c>
      <c r="Z5" s="138" t="str">
        <f t="shared" si="1"/>
        <v>F</v>
      </c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</row>
    <row r="6" spans="1:39" s="139" customFormat="1">
      <c r="A6" s="140">
        <v>119</v>
      </c>
      <c r="B6" s="145" t="s">
        <v>199</v>
      </c>
      <c r="C6" s="145">
        <v>2000</v>
      </c>
      <c r="D6" s="145" t="s">
        <v>205</v>
      </c>
      <c r="E6" s="142" t="s">
        <v>207</v>
      </c>
      <c r="F6" s="136" t="s">
        <v>220</v>
      </c>
      <c r="G6" s="136" t="s">
        <v>221</v>
      </c>
      <c r="H6" s="136" t="s">
        <v>116</v>
      </c>
      <c r="I6" s="136" t="s">
        <v>590</v>
      </c>
      <c r="J6" s="136" t="s">
        <v>710</v>
      </c>
      <c r="K6" s="136" t="s">
        <v>676</v>
      </c>
      <c r="L6" s="136" t="s">
        <v>215</v>
      </c>
      <c r="M6" s="136" t="s">
        <v>117</v>
      </c>
      <c r="N6" s="136" t="s">
        <v>216</v>
      </c>
      <c r="O6" s="145" t="s">
        <v>222</v>
      </c>
      <c r="P6" s="136"/>
      <c r="Q6" s="136"/>
      <c r="R6" s="145"/>
      <c r="S6" s="145"/>
      <c r="T6" s="145"/>
      <c r="U6" s="136">
        <v>0.91700000000000004</v>
      </c>
      <c r="V6" s="145"/>
      <c r="W6" s="145"/>
      <c r="X6" s="137">
        <f t="shared" si="0"/>
        <v>0.91700000000000004</v>
      </c>
      <c r="Y6" s="149">
        <v>0.7</v>
      </c>
      <c r="Z6" s="138" t="str">
        <f t="shared" si="1"/>
        <v>F</v>
      </c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</row>
    <row r="7" spans="1:39" s="139" customFormat="1">
      <c r="A7" s="140">
        <v>119</v>
      </c>
      <c r="B7" s="145" t="s">
        <v>199</v>
      </c>
      <c r="C7" s="145">
        <v>2000</v>
      </c>
      <c r="D7" s="145" t="s">
        <v>205</v>
      </c>
      <c r="E7" s="142" t="s">
        <v>207</v>
      </c>
      <c r="F7" s="136" t="s">
        <v>213</v>
      </c>
      <c r="G7" s="136" t="s">
        <v>214</v>
      </c>
      <c r="H7" s="136" t="s">
        <v>116</v>
      </c>
      <c r="I7" s="136" t="s">
        <v>590</v>
      </c>
      <c r="J7" s="136" t="s">
        <v>710</v>
      </c>
      <c r="K7" s="136" t="s">
        <v>676</v>
      </c>
      <c r="L7" s="136" t="s">
        <v>215</v>
      </c>
      <c r="M7" s="136" t="s">
        <v>117</v>
      </c>
      <c r="N7" s="136" t="s">
        <v>216</v>
      </c>
      <c r="O7" s="136" t="s">
        <v>217</v>
      </c>
      <c r="P7" s="136"/>
      <c r="Q7" s="136"/>
      <c r="R7" s="136"/>
      <c r="S7" s="136"/>
      <c r="T7" s="136"/>
      <c r="U7" s="136">
        <v>0.91600000000000004</v>
      </c>
      <c r="V7" s="149"/>
      <c r="W7" s="149"/>
      <c r="X7" s="137">
        <f t="shared" si="0"/>
        <v>0.91600000000000004</v>
      </c>
      <c r="Y7" s="149">
        <v>1.49</v>
      </c>
      <c r="Z7" s="138" t="str">
        <f t="shared" si="1"/>
        <v>F</v>
      </c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</row>
    <row r="8" spans="1:39" s="139" customFormat="1">
      <c r="A8" s="140">
        <v>174</v>
      </c>
      <c r="B8" s="136" t="s">
        <v>407</v>
      </c>
      <c r="C8" s="136">
        <v>2009</v>
      </c>
      <c r="D8" s="141" t="s">
        <v>408</v>
      </c>
      <c r="E8" s="142" t="s">
        <v>16</v>
      </c>
      <c r="F8" s="143" t="s">
        <v>410</v>
      </c>
      <c r="G8" s="136" t="s">
        <v>115</v>
      </c>
      <c r="H8" s="136" t="s">
        <v>116</v>
      </c>
      <c r="I8" s="136"/>
      <c r="J8" s="136" t="s">
        <v>710</v>
      </c>
      <c r="K8" s="136" t="s">
        <v>677</v>
      </c>
      <c r="L8" s="136" t="s">
        <v>453</v>
      </c>
      <c r="M8" s="144"/>
      <c r="N8" s="144"/>
      <c r="O8" s="136" t="s">
        <v>453</v>
      </c>
      <c r="P8" s="145"/>
      <c r="Q8" s="145"/>
      <c r="R8" s="136"/>
      <c r="S8" s="136"/>
      <c r="T8" s="136"/>
      <c r="U8" s="146">
        <v>0.97099999999999997</v>
      </c>
      <c r="V8" s="136"/>
      <c r="W8" s="136"/>
      <c r="X8" s="137">
        <f t="shared" si="0"/>
        <v>0.97099999999999997</v>
      </c>
      <c r="Y8" s="147">
        <v>1.7</v>
      </c>
      <c r="Z8" s="138" t="str">
        <f t="shared" si="1"/>
        <v>F</v>
      </c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</row>
    <row r="9" spans="1:39" s="139" customFormat="1">
      <c r="A9" s="140">
        <v>121</v>
      </c>
      <c r="B9" s="145" t="s">
        <v>223</v>
      </c>
      <c r="C9" s="145">
        <v>2003</v>
      </c>
      <c r="D9" s="145" t="s">
        <v>224</v>
      </c>
      <c r="E9" s="142" t="s">
        <v>225</v>
      </c>
      <c r="F9" s="136">
        <v>2002</v>
      </c>
      <c r="G9" s="136" t="s">
        <v>229</v>
      </c>
      <c r="H9" s="136" t="s">
        <v>803</v>
      </c>
      <c r="I9" s="136"/>
      <c r="J9" s="136" t="s">
        <v>710</v>
      </c>
      <c r="K9" s="136" t="s">
        <v>720</v>
      </c>
      <c r="L9" s="136" t="s">
        <v>230</v>
      </c>
      <c r="M9" s="136" t="s">
        <v>239</v>
      </c>
      <c r="N9" s="136" t="s">
        <v>240</v>
      </c>
      <c r="O9" s="136" t="s">
        <v>241</v>
      </c>
      <c r="P9" s="136"/>
      <c r="Q9" s="136"/>
      <c r="R9" s="136"/>
      <c r="S9" s="136"/>
      <c r="T9" s="136"/>
      <c r="U9" s="136"/>
      <c r="V9" s="136"/>
      <c r="W9" s="136"/>
      <c r="X9" s="137" t="str">
        <f t="shared" si="0"/>
        <v/>
      </c>
      <c r="Y9" s="136">
        <v>8.69</v>
      </c>
      <c r="Z9" s="138" t="str">
        <f t="shared" si="1"/>
        <v/>
      </c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</row>
    <row r="10" spans="1:39">
      <c r="A10" s="110">
        <v>174</v>
      </c>
      <c r="B10" s="114" t="s">
        <v>407</v>
      </c>
      <c r="C10" s="114">
        <v>2009</v>
      </c>
      <c r="D10" s="122" t="s">
        <v>408</v>
      </c>
      <c r="E10" s="113" t="s">
        <v>16</v>
      </c>
      <c r="F10" s="123" t="s">
        <v>410</v>
      </c>
      <c r="G10" s="114" t="s">
        <v>435</v>
      </c>
      <c r="H10" s="114" t="s">
        <v>116</v>
      </c>
      <c r="I10" s="114"/>
      <c r="J10" s="114" t="s">
        <v>750</v>
      </c>
      <c r="K10" s="114" t="s">
        <v>600</v>
      </c>
      <c r="L10" s="114" t="s">
        <v>436</v>
      </c>
      <c r="M10" s="121"/>
      <c r="N10" s="121"/>
      <c r="O10" s="114" t="s">
        <v>436</v>
      </c>
      <c r="P10" s="120"/>
      <c r="Q10" s="120"/>
      <c r="R10" s="114"/>
      <c r="S10" s="114"/>
      <c r="T10" s="114"/>
      <c r="U10" s="125">
        <v>0.86699999999999999</v>
      </c>
      <c r="V10" s="114"/>
      <c r="W10" s="114"/>
      <c r="X10" s="134">
        <f t="shared" si="0"/>
        <v>0.86699999999999999</v>
      </c>
      <c r="Y10" s="126">
        <v>1.9</v>
      </c>
      <c r="Z10" s="135" t="str">
        <f t="shared" si="1"/>
        <v>S</v>
      </c>
      <c r="AA10" s="160" t="str">
        <f>+J10</f>
        <v>N duff</v>
      </c>
      <c r="AB10" s="160" t="s">
        <v>814</v>
      </c>
      <c r="AC10" s="160" t="s">
        <v>815</v>
      </c>
      <c r="AD10" s="160" t="s">
        <v>816</v>
      </c>
      <c r="AE10" s="160" t="s">
        <v>817</v>
      </c>
      <c r="AF10" s="160" t="s">
        <v>818</v>
      </c>
      <c r="AG10" s="160" t="s">
        <v>819</v>
      </c>
    </row>
    <row r="11" spans="1:39" s="82" customFormat="1">
      <c r="A11" s="110">
        <v>172</v>
      </c>
      <c r="B11" s="114" t="s">
        <v>302</v>
      </c>
      <c r="C11" s="114">
        <v>2010</v>
      </c>
      <c r="D11" s="114" t="s">
        <v>303</v>
      </c>
      <c r="E11" s="113" t="s">
        <v>305</v>
      </c>
      <c r="F11" s="123">
        <v>40233</v>
      </c>
      <c r="G11" s="114" t="s">
        <v>345</v>
      </c>
      <c r="H11" s="114" t="s">
        <v>116</v>
      </c>
      <c r="I11" s="114"/>
      <c r="J11" s="114" t="s">
        <v>750</v>
      </c>
      <c r="K11" s="114" t="s">
        <v>600</v>
      </c>
      <c r="L11" s="114" t="s">
        <v>346</v>
      </c>
      <c r="M11" s="124"/>
      <c r="N11" s="124"/>
      <c r="O11" s="114"/>
      <c r="P11" s="120"/>
      <c r="Q11" s="120"/>
      <c r="R11" s="114"/>
      <c r="S11" s="114"/>
      <c r="T11" s="114"/>
      <c r="U11" s="125">
        <v>0.82699999999999996</v>
      </c>
      <c r="V11" s="120"/>
      <c r="W11" s="120"/>
      <c r="X11" s="134">
        <f t="shared" si="0"/>
        <v>0.82699999999999996</v>
      </c>
      <c r="Y11" s="120">
        <v>3.4129999999999998</v>
      </c>
      <c r="Z11" s="135" t="str">
        <f t="shared" si="1"/>
        <v>S</v>
      </c>
      <c r="AA11" s="160" t="s">
        <v>813</v>
      </c>
      <c r="AB11" s="161">
        <f>AVERAGE($Y$10:$Y$13)</f>
        <v>3.6557499999999998</v>
      </c>
      <c r="AC11" s="161">
        <f>MEDIAN($Y$10:$Y$13)</f>
        <v>2.6564999999999999</v>
      </c>
      <c r="AD11" s="161">
        <f>MAX($Y$10:$Y$13)</f>
        <v>7.91</v>
      </c>
      <c r="AE11" s="161">
        <f>MIN($Y$10:$Y$13)</f>
        <v>1.4</v>
      </c>
      <c r="AF11" s="161">
        <f>STDEV($Y$10:$Y$13)</f>
        <v>2.9624672572030231</v>
      </c>
      <c r="AG11" s="161">
        <f>COUNT($Y$10:$Y$13)</f>
        <v>4</v>
      </c>
      <c r="AH11" s="155"/>
      <c r="AI11" s="155"/>
      <c r="AJ11" s="155"/>
      <c r="AK11" s="155"/>
      <c r="AL11" s="155"/>
      <c r="AM11" s="155"/>
    </row>
    <row r="12" spans="1:39" s="82" customFormat="1">
      <c r="A12" s="110">
        <v>174</v>
      </c>
      <c r="B12" s="114" t="s">
        <v>407</v>
      </c>
      <c r="C12" s="114">
        <v>2009</v>
      </c>
      <c r="D12" s="122" t="s">
        <v>408</v>
      </c>
      <c r="E12" s="113" t="s">
        <v>16</v>
      </c>
      <c r="F12" s="123" t="s">
        <v>410</v>
      </c>
      <c r="G12" s="114" t="s">
        <v>435</v>
      </c>
      <c r="H12" s="114" t="s">
        <v>116</v>
      </c>
      <c r="I12" s="114"/>
      <c r="J12" s="114" t="s">
        <v>750</v>
      </c>
      <c r="K12" s="114" t="s">
        <v>731</v>
      </c>
      <c r="L12" s="114" t="s">
        <v>437</v>
      </c>
      <c r="M12" s="121"/>
      <c r="N12" s="121"/>
      <c r="O12" s="114" t="s">
        <v>438</v>
      </c>
      <c r="P12" s="120"/>
      <c r="Q12" s="120"/>
      <c r="R12" s="114"/>
      <c r="S12" s="114"/>
      <c r="T12" s="114"/>
      <c r="U12" s="125">
        <v>0.91700000000000004</v>
      </c>
      <c r="V12" s="114"/>
      <c r="W12" s="114"/>
      <c r="X12" s="134">
        <f t="shared" si="0"/>
        <v>0.91700000000000004</v>
      </c>
      <c r="Y12" s="126">
        <v>1.4</v>
      </c>
      <c r="Z12" s="135" t="str">
        <f t="shared" si="1"/>
        <v>F</v>
      </c>
      <c r="AA12" s="134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</row>
    <row r="13" spans="1:39" s="82" customFormat="1">
      <c r="A13" s="110">
        <v>121</v>
      </c>
      <c r="B13" s="115" t="s">
        <v>223</v>
      </c>
      <c r="C13" s="115">
        <v>2003</v>
      </c>
      <c r="D13" s="115" t="s">
        <v>224</v>
      </c>
      <c r="E13" s="113" t="s">
        <v>225</v>
      </c>
      <c r="F13" s="114">
        <v>2002</v>
      </c>
      <c r="G13" s="114" t="s">
        <v>229</v>
      </c>
      <c r="H13" s="114" t="s">
        <v>803</v>
      </c>
      <c r="I13" s="114"/>
      <c r="J13" s="114" t="s">
        <v>750</v>
      </c>
      <c r="K13" s="114" t="s">
        <v>719</v>
      </c>
      <c r="L13" s="114" t="s">
        <v>230</v>
      </c>
      <c r="M13" s="121" t="s">
        <v>231</v>
      </c>
      <c r="N13" s="114" t="s">
        <v>232</v>
      </c>
      <c r="O13" s="114" t="s">
        <v>233</v>
      </c>
      <c r="P13" s="114"/>
      <c r="Q13" s="114"/>
      <c r="R13" s="114"/>
      <c r="S13" s="114"/>
      <c r="T13" s="114"/>
      <c r="U13" s="114"/>
      <c r="V13" s="114"/>
      <c r="W13" s="114"/>
      <c r="X13" s="134" t="str">
        <f t="shared" si="0"/>
        <v/>
      </c>
      <c r="Y13" s="114">
        <v>7.91</v>
      </c>
      <c r="Z13" s="135" t="str">
        <f t="shared" si="1"/>
        <v/>
      </c>
      <c r="AA13" s="134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</row>
    <row r="14" spans="1:39" s="150" customFormat="1">
      <c r="A14" s="140">
        <v>119</v>
      </c>
      <c r="B14" s="145" t="s">
        <v>199</v>
      </c>
      <c r="C14" s="145">
        <v>2000</v>
      </c>
      <c r="D14" s="145" t="s">
        <v>205</v>
      </c>
      <c r="E14" s="142" t="s">
        <v>207</v>
      </c>
      <c r="F14" s="148">
        <v>35594</v>
      </c>
      <c r="G14" s="136" t="s">
        <v>208</v>
      </c>
      <c r="H14" s="136" t="s">
        <v>116</v>
      </c>
      <c r="I14" s="136" t="s">
        <v>590</v>
      </c>
      <c r="J14" s="136" t="s">
        <v>751</v>
      </c>
      <c r="K14" s="136" t="s">
        <v>607</v>
      </c>
      <c r="L14" s="136" t="s">
        <v>209</v>
      </c>
      <c r="M14" s="136" t="s">
        <v>210</v>
      </c>
      <c r="N14" s="136" t="s">
        <v>211</v>
      </c>
      <c r="O14" s="136" t="s">
        <v>212</v>
      </c>
      <c r="P14" s="136"/>
      <c r="Q14" s="136"/>
      <c r="R14" s="136"/>
      <c r="S14" s="136"/>
      <c r="T14" s="136"/>
      <c r="U14" s="136">
        <v>0.92500000000000004</v>
      </c>
      <c r="V14" s="149"/>
      <c r="W14" s="149"/>
      <c r="X14" s="137">
        <f t="shared" si="0"/>
        <v>0.92500000000000004</v>
      </c>
      <c r="Y14" s="149">
        <v>0.77</v>
      </c>
      <c r="Z14" s="138" t="str">
        <f t="shared" si="1"/>
        <v>F</v>
      </c>
      <c r="AA14" s="137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</row>
    <row r="15" spans="1:39" s="82" customFormat="1">
      <c r="A15" s="110">
        <v>174</v>
      </c>
      <c r="B15" s="114" t="s">
        <v>407</v>
      </c>
      <c r="C15" s="114">
        <v>2009</v>
      </c>
      <c r="D15" s="122" t="s">
        <v>408</v>
      </c>
      <c r="E15" s="113" t="s">
        <v>16</v>
      </c>
      <c r="F15" s="123" t="s">
        <v>410</v>
      </c>
      <c r="G15" s="114"/>
      <c r="H15" s="114"/>
      <c r="I15" s="114"/>
      <c r="J15" s="114" t="s">
        <v>763</v>
      </c>
      <c r="K15" s="114" t="s">
        <v>461</v>
      </c>
      <c r="L15" s="114" t="s">
        <v>461</v>
      </c>
      <c r="M15" s="121"/>
      <c r="N15" s="121"/>
      <c r="O15" s="114" t="s">
        <v>461</v>
      </c>
      <c r="P15" s="120"/>
      <c r="Q15" s="120"/>
      <c r="R15" s="114"/>
      <c r="S15" s="114"/>
      <c r="T15" s="114"/>
      <c r="U15" s="125">
        <v>0.96099999999999997</v>
      </c>
      <c r="V15" s="114"/>
      <c r="W15" s="114"/>
      <c r="X15" s="134">
        <f t="shared" si="0"/>
        <v>0.96099999999999997</v>
      </c>
      <c r="Y15" s="126">
        <v>1.3</v>
      </c>
      <c r="Z15" s="135" t="str">
        <f t="shared" si="1"/>
        <v>F</v>
      </c>
      <c r="AA15" s="134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</row>
    <row r="16" spans="1:39" s="150" customFormat="1">
      <c r="A16" s="140">
        <v>174</v>
      </c>
      <c r="B16" s="136" t="s">
        <v>407</v>
      </c>
      <c r="C16" s="136">
        <v>2009</v>
      </c>
      <c r="D16" s="141" t="s">
        <v>408</v>
      </c>
      <c r="E16" s="142" t="s">
        <v>16</v>
      </c>
      <c r="F16" s="143" t="s">
        <v>410</v>
      </c>
      <c r="G16" s="136" t="s">
        <v>450</v>
      </c>
      <c r="H16" s="136" t="s">
        <v>450</v>
      </c>
      <c r="I16" s="136"/>
      <c r="J16" s="136" t="s">
        <v>591</v>
      </c>
      <c r="K16" s="136" t="s">
        <v>737</v>
      </c>
      <c r="L16" s="136" t="s">
        <v>451</v>
      </c>
      <c r="M16" s="144"/>
      <c r="N16" s="144"/>
      <c r="O16" s="136" t="s">
        <v>452</v>
      </c>
      <c r="P16" s="145"/>
      <c r="Q16" s="145"/>
      <c r="R16" s="136"/>
      <c r="S16" s="136"/>
      <c r="T16" s="136"/>
      <c r="U16" s="146">
        <v>0.96499999999999997</v>
      </c>
      <c r="V16" s="136"/>
      <c r="W16" s="136"/>
      <c r="X16" s="137">
        <f t="shared" si="0"/>
        <v>0.96499999999999997</v>
      </c>
      <c r="Y16" s="147">
        <v>0.4</v>
      </c>
      <c r="Z16" s="138" t="str">
        <f t="shared" si="1"/>
        <v>F</v>
      </c>
      <c r="AA16" s="157" t="str">
        <f>+J16</f>
        <v>SE grass</v>
      </c>
      <c r="AB16" s="157" t="s">
        <v>814</v>
      </c>
      <c r="AC16" s="157" t="s">
        <v>815</v>
      </c>
      <c r="AD16" s="157" t="s">
        <v>816</v>
      </c>
      <c r="AE16" s="157" t="s">
        <v>817</v>
      </c>
      <c r="AF16" s="157" t="s">
        <v>818</v>
      </c>
      <c r="AG16" s="157" t="s">
        <v>819</v>
      </c>
      <c r="AH16" s="154"/>
      <c r="AI16" s="154"/>
      <c r="AJ16" s="154"/>
      <c r="AK16" s="154"/>
      <c r="AL16" s="154"/>
      <c r="AM16" s="154"/>
    </row>
    <row r="17" spans="1:39" s="150" customFormat="1">
      <c r="A17" s="140">
        <v>172</v>
      </c>
      <c r="B17" s="136" t="s">
        <v>302</v>
      </c>
      <c r="C17" s="136">
        <v>2010</v>
      </c>
      <c r="D17" s="136" t="s">
        <v>303</v>
      </c>
      <c r="E17" s="142" t="s">
        <v>305</v>
      </c>
      <c r="F17" s="143">
        <v>40228</v>
      </c>
      <c r="G17" s="136" t="s">
        <v>258</v>
      </c>
      <c r="H17" s="136" t="s">
        <v>20</v>
      </c>
      <c r="I17" s="136"/>
      <c r="J17" s="136" t="s">
        <v>591</v>
      </c>
      <c r="K17" s="136" t="s">
        <v>619</v>
      </c>
      <c r="L17" s="136" t="s">
        <v>334</v>
      </c>
      <c r="M17" s="151"/>
      <c r="N17" s="151"/>
      <c r="O17" s="136"/>
      <c r="P17" s="145"/>
      <c r="Q17" s="145"/>
      <c r="R17" s="136"/>
      <c r="S17" s="136"/>
      <c r="T17" s="136"/>
      <c r="U17" s="145">
        <v>0.93400000000000005</v>
      </c>
      <c r="V17" s="146"/>
      <c r="W17" s="146"/>
      <c r="X17" s="137">
        <f t="shared" si="0"/>
        <v>0.93400000000000005</v>
      </c>
      <c r="Y17" s="146">
        <v>0.94199999999999995</v>
      </c>
      <c r="Z17" s="138" t="str">
        <f t="shared" si="1"/>
        <v>F</v>
      </c>
      <c r="AA17" s="157" t="s">
        <v>813</v>
      </c>
      <c r="AB17" s="162">
        <f>AVERAGE($Y$16:$Y$21)</f>
        <v>1.1964999999999999</v>
      </c>
      <c r="AC17" s="162">
        <f>MEDIAN($Y$16:$Y$21)</f>
        <v>1.0685</v>
      </c>
      <c r="AD17" s="162">
        <f>MAX($Y$16:$Y$21)</f>
        <v>1.9</v>
      </c>
      <c r="AE17" s="162">
        <f>MIN($Y$16:$Y$21)</f>
        <v>0.4</v>
      </c>
      <c r="AF17" s="162">
        <f>STDEV($Y$16:$Y$21)</f>
        <v>0.56445717286610875</v>
      </c>
      <c r="AG17" s="162">
        <f>COUNT($Y$16:$Y$21)</f>
        <v>6</v>
      </c>
      <c r="AH17" s="154"/>
      <c r="AI17" s="154"/>
      <c r="AJ17" s="154"/>
      <c r="AK17" s="154"/>
      <c r="AL17" s="154"/>
      <c r="AM17" s="154"/>
    </row>
    <row r="18" spans="1:39" s="150" customFormat="1">
      <c r="A18" s="140">
        <v>172</v>
      </c>
      <c r="B18" s="136" t="s">
        <v>302</v>
      </c>
      <c r="C18" s="136">
        <v>2010</v>
      </c>
      <c r="D18" s="136" t="s">
        <v>303</v>
      </c>
      <c r="E18" s="142" t="s">
        <v>305</v>
      </c>
      <c r="F18" s="143">
        <v>40229</v>
      </c>
      <c r="G18" s="136" t="s">
        <v>258</v>
      </c>
      <c r="H18" s="136" t="s">
        <v>20</v>
      </c>
      <c r="I18" s="136"/>
      <c r="J18" s="136" t="s">
        <v>591</v>
      </c>
      <c r="K18" s="136" t="s">
        <v>619</v>
      </c>
      <c r="L18" s="136" t="s">
        <v>335</v>
      </c>
      <c r="M18" s="151"/>
      <c r="N18" s="151"/>
      <c r="O18" s="136"/>
      <c r="P18" s="145"/>
      <c r="Q18" s="145"/>
      <c r="R18" s="136"/>
      <c r="S18" s="136"/>
      <c r="T18" s="136"/>
      <c r="U18" s="145">
        <v>0.92700000000000005</v>
      </c>
      <c r="V18" s="146"/>
      <c r="W18" s="146"/>
      <c r="X18" s="137">
        <f t="shared" si="0"/>
        <v>0.92700000000000005</v>
      </c>
      <c r="Y18" s="146">
        <v>1.0369999999999999</v>
      </c>
      <c r="Z18" s="138" t="str">
        <f t="shared" si="1"/>
        <v>F</v>
      </c>
      <c r="AA18" s="137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</row>
    <row r="19" spans="1:39" s="150" customFormat="1">
      <c r="A19" s="140">
        <v>174</v>
      </c>
      <c r="B19" s="136" t="s">
        <v>407</v>
      </c>
      <c r="C19" s="136">
        <v>2009</v>
      </c>
      <c r="D19" s="141" t="s">
        <v>408</v>
      </c>
      <c r="E19" s="142" t="s">
        <v>16</v>
      </c>
      <c r="F19" s="143" t="s">
        <v>410</v>
      </c>
      <c r="G19" s="136" t="s">
        <v>419</v>
      </c>
      <c r="H19" s="136" t="s">
        <v>21</v>
      </c>
      <c r="I19" s="136"/>
      <c r="J19" s="136" t="s">
        <v>591</v>
      </c>
      <c r="K19" s="136" t="s">
        <v>734</v>
      </c>
      <c r="L19" s="136" t="s">
        <v>420</v>
      </c>
      <c r="M19" s="144"/>
      <c r="N19" s="144"/>
      <c r="O19" s="136" t="s">
        <v>420</v>
      </c>
      <c r="P19" s="145"/>
      <c r="Q19" s="145"/>
      <c r="R19" s="136"/>
      <c r="S19" s="136"/>
      <c r="T19" s="136"/>
      <c r="U19" s="146">
        <v>0.95699999999999996</v>
      </c>
      <c r="V19" s="136"/>
      <c r="W19" s="136"/>
      <c r="X19" s="137">
        <f t="shared" si="0"/>
        <v>0.95699999999999996</v>
      </c>
      <c r="Y19" s="147">
        <v>1.9</v>
      </c>
      <c r="Z19" s="138" t="str">
        <f t="shared" si="1"/>
        <v>F</v>
      </c>
      <c r="AA19" s="137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</row>
    <row r="20" spans="1:39" s="139" customFormat="1">
      <c r="A20" s="140">
        <v>174</v>
      </c>
      <c r="B20" s="136" t="s">
        <v>407</v>
      </c>
      <c r="C20" s="136">
        <v>2009</v>
      </c>
      <c r="D20" s="141" t="s">
        <v>408</v>
      </c>
      <c r="E20" s="142" t="s">
        <v>16</v>
      </c>
      <c r="F20" s="143" t="s">
        <v>410</v>
      </c>
      <c r="G20" s="136" t="s">
        <v>415</v>
      </c>
      <c r="H20" s="136" t="s">
        <v>22</v>
      </c>
      <c r="I20" s="136"/>
      <c r="J20" s="136" t="s">
        <v>591</v>
      </c>
      <c r="K20" s="136" t="s">
        <v>732</v>
      </c>
      <c r="L20" s="136" t="s">
        <v>416</v>
      </c>
      <c r="M20" s="144"/>
      <c r="N20" s="144"/>
      <c r="O20" s="136" t="s">
        <v>416</v>
      </c>
      <c r="P20" s="145"/>
      <c r="Q20" s="145"/>
      <c r="R20" s="136"/>
      <c r="S20" s="136"/>
      <c r="T20" s="136"/>
      <c r="U20" s="146">
        <v>0.89100000000000001</v>
      </c>
      <c r="V20" s="136"/>
      <c r="W20" s="136"/>
      <c r="X20" s="137">
        <f t="shared" si="0"/>
        <v>0.89100000000000001</v>
      </c>
      <c r="Y20" s="147">
        <v>1.1000000000000001</v>
      </c>
      <c r="Z20" s="138" t="str">
        <f t="shared" si="1"/>
        <v>S</v>
      </c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</row>
    <row r="21" spans="1:39" s="139" customFormat="1">
      <c r="A21" s="140">
        <v>174</v>
      </c>
      <c r="B21" s="136" t="s">
        <v>407</v>
      </c>
      <c r="C21" s="136">
        <v>2009</v>
      </c>
      <c r="D21" s="141" t="s">
        <v>408</v>
      </c>
      <c r="E21" s="142" t="s">
        <v>16</v>
      </c>
      <c r="F21" s="143" t="s">
        <v>410</v>
      </c>
      <c r="G21" s="136" t="s">
        <v>425</v>
      </c>
      <c r="H21" s="136" t="s">
        <v>21</v>
      </c>
      <c r="I21" s="136"/>
      <c r="J21" s="136" t="s">
        <v>591</v>
      </c>
      <c r="K21" s="136" t="s">
        <v>735</v>
      </c>
      <c r="L21" s="136" t="s">
        <v>426</v>
      </c>
      <c r="M21" s="144"/>
      <c r="N21" s="144"/>
      <c r="O21" s="136" t="s">
        <v>26</v>
      </c>
      <c r="P21" s="145"/>
      <c r="Q21" s="145"/>
      <c r="R21" s="136"/>
      <c r="S21" s="136"/>
      <c r="T21" s="136"/>
      <c r="U21" s="146">
        <v>0.9</v>
      </c>
      <c r="V21" s="136"/>
      <c r="W21" s="136"/>
      <c r="X21" s="137">
        <f t="shared" si="0"/>
        <v>0.9</v>
      </c>
      <c r="Y21" s="147">
        <v>1.8</v>
      </c>
      <c r="Z21" s="138" t="str">
        <f t="shared" si="1"/>
        <v>F</v>
      </c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</row>
    <row r="22" spans="1:39">
      <c r="A22" s="110">
        <v>172</v>
      </c>
      <c r="B22" s="114" t="s">
        <v>302</v>
      </c>
      <c r="C22" s="114">
        <v>2010</v>
      </c>
      <c r="D22" s="114" t="s">
        <v>303</v>
      </c>
      <c r="E22" s="113" t="s">
        <v>305</v>
      </c>
      <c r="F22" s="123">
        <v>40231</v>
      </c>
      <c r="G22" s="114" t="s">
        <v>258</v>
      </c>
      <c r="H22" s="114" t="s">
        <v>20</v>
      </c>
      <c r="I22" s="114"/>
      <c r="J22" s="114" t="s">
        <v>604</v>
      </c>
      <c r="K22" s="114" t="s">
        <v>617</v>
      </c>
      <c r="L22" s="114" t="s">
        <v>339</v>
      </c>
      <c r="M22" s="124" t="s">
        <v>340</v>
      </c>
      <c r="N22" s="124" t="s">
        <v>341</v>
      </c>
      <c r="O22" s="114"/>
      <c r="P22" s="120"/>
      <c r="Q22" s="120"/>
      <c r="R22" s="114"/>
      <c r="S22" s="114"/>
      <c r="T22" s="114"/>
      <c r="U22" s="120">
        <v>0.95899999999999996</v>
      </c>
      <c r="V22" s="125"/>
      <c r="W22" s="125"/>
      <c r="X22" s="134">
        <f t="shared" si="0"/>
        <v>0.95899999999999996</v>
      </c>
      <c r="Y22" s="125">
        <v>0.35399999999999998</v>
      </c>
      <c r="Z22" s="135" t="str">
        <f t="shared" si="1"/>
        <v>F</v>
      </c>
      <c r="AA22" s="167" t="str">
        <f>+J22</f>
        <v>SE hardwood</v>
      </c>
      <c r="AB22" s="160" t="s">
        <v>814</v>
      </c>
      <c r="AC22" s="160" t="s">
        <v>815</v>
      </c>
      <c r="AD22" s="160" t="s">
        <v>816</v>
      </c>
      <c r="AE22" s="160" t="s">
        <v>817</v>
      </c>
      <c r="AF22" s="160" t="s">
        <v>818</v>
      </c>
      <c r="AG22" s="160" t="s">
        <v>819</v>
      </c>
    </row>
    <row r="23" spans="1:39">
      <c r="A23" s="110">
        <v>174</v>
      </c>
      <c r="B23" s="114" t="s">
        <v>407</v>
      </c>
      <c r="C23" s="114">
        <v>2009</v>
      </c>
      <c r="D23" s="122" t="s">
        <v>408</v>
      </c>
      <c r="E23" s="113" t="s">
        <v>16</v>
      </c>
      <c r="F23" s="123" t="s">
        <v>410</v>
      </c>
      <c r="G23" s="114" t="s">
        <v>439</v>
      </c>
      <c r="H23" s="114" t="s">
        <v>20</v>
      </c>
      <c r="I23" s="114"/>
      <c r="J23" s="114" t="s">
        <v>604</v>
      </c>
      <c r="K23" s="114" t="s">
        <v>742</v>
      </c>
      <c r="L23" s="114" t="s">
        <v>440</v>
      </c>
      <c r="M23" s="121"/>
      <c r="N23" s="121"/>
      <c r="O23" s="114" t="s">
        <v>440</v>
      </c>
      <c r="P23" s="120"/>
      <c r="Q23" s="120"/>
      <c r="R23" s="114"/>
      <c r="S23" s="114"/>
      <c r="T23" s="114"/>
      <c r="U23" s="125">
        <v>0.93300000000000005</v>
      </c>
      <c r="V23" s="114"/>
      <c r="W23" s="114"/>
      <c r="X23" s="134">
        <f t="shared" si="0"/>
        <v>0.93300000000000005</v>
      </c>
      <c r="Y23" s="126">
        <v>2.6</v>
      </c>
      <c r="Z23" s="135" t="str">
        <f t="shared" si="1"/>
        <v>F</v>
      </c>
      <c r="AA23" s="160" t="s">
        <v>813</v>
      </c>
      <c r="AB23" s="163">
        <f>AVERAGE($Y$22:$Y$25)</f>
        <v>1.7934999999999999</v>
      </c>
      <c r="AC23" s="163">
        <f>MEDIAN($Y$22:$Y$25)</f>
        <v>1.56</v>
      </c>
      <c r="AD23" s="163">
        <f>MAX($Y$22:$Y$25)</f>
        <v>3.7</v>
      </c>
      <c r="AE23" s="163">
        <f>MIN($Y$22:$Y$25)</f>
        <v>0.35399999999999998</v>
      </c>
      <c r="AF23" s="163">
        <f>STDEV($Y$22:$Y$25)</f>
        <v>1.6308634727243929</v>
      </c>
      <c r="AG23" s="163">
        <f>COUNT($Y$22:$Y$25)</f>
        <v>4</v>
      </c>
    </row>
    <row r="24" spans="1:39">
      <c r="A24" s="110">
        <v>174</v>
      </c>
      <c r="B24" s="114" t="s">
        <v>407</v>
      </c>
      <c r="C24" s="114">
        <v>2009</v>
      </c>
      <c r="D24" s="122" t="s">
        <v>408</v>
      </c>
      <c r="E24" s="113" t="s">
        <v>16</v>
      </c>
      <c r="F24" s="123" t="s">
        <v>410</v>
      </c>
      <c r="G24" s="114" t="s">
        <v>20</v>
      </c>
      <c r="H24" s="114" t="s">
        <v>20</v>
      </c>
      <c r="I24" s="114"/>
      <c r="J24" s="114" t="s">
        <v>604</v>
      </c>
      <c r="K24" s="114" t="s">
        <v>632</v>
      </c>
      <c r="L24" s="114" t="s">
        <v>413</v>
      </c>
      <c r="M24" s="121"/>
      <c r="N24" s="121"/>
      <c r="O24" s="114" t="s">
        <v>413</v>
      </c>
      <c r="P24" s="120"/>
      <c r="Q24" s="120"/>
      <c r="R24" s="114"/>
      <c r="S24" s="114"/>
      <c r="T24" s="114"/>
      <c r="U24" s="125">
        <v>0.88600000000000001</v>
      </c>
      <c r="V24" s="114"/>
      <c r="W24" s="114"/>
      <c r="X24" s="134">
        <f t="shared" si="0"/>
        <v>0.88600000000000001</v>
      </c>
      <c r="Y24" s="126">
        <v>3.7</v>
      </c>
      <c r="Z24" s="135" t="str">
        <f t="shared" si="1"/>
        <v>S</v>
      </c>
    </row>
    <row r="25" spans="1:39">
      <c r="A25" s="110">
        <v>172</v>
      </c>
      <c r="B25" s="114" t="s">
        <v>302</v>
      </c>
      <c r="C25" s="114">
        <v>2010</v>
      </c>
      <c r="D25" s="114" t="s">
        <v>303</v>
      </c>
      <c r="E25" s="113" t="s">
        <v>305</v>
      </c>
      <c r="F25" s="123">
        <v>40232</v>
      </c>
      <c r="G25" s="114" t="s">
        <v>258</v>
      </c>
      <c r="H25" s="114" t="s">
        <v>20</v>
      </c>
      <c r="I25" s="114"/>
      <c r="J25" s="114" t="s">
        <v>604</v>
      </c>
      <c r="K25" s="114" t="s">
        <v>618</v>
      </c>
      <c r="L25" s="114" t="s">
        <v>342</v>
      </c>
      <c r="M25" s="124" t="s">
        <v>343</v>
      </c>
      <c r="N25" s="124" t="s">
        <v>344</v>
      </c>
      <c r="O25" s="114"/>
      <c r="P25" s="120"/>
      <c r="Q25" s="120"/>
      <c r="R25" s="114"/>
      <c r="S25" s="114"/>
      <c r="T25" s="114"/>
      <c r="U25" s="120">
        <v>0.95399999999999996</v>
      </c>
      <c r="V25" s="125"/>
      <c r="W25" s="125"/>
      <c r="X25" s="134">
        <f t="shared" si="0"/>
        <v>0.95399999999999996</v>
      </c>
      <c r="Y25" s="125">
        <v>0.52</v>
      </c>
      <c r="Z25" s="135" t="str">
        <f t="shared" si="1"/>
        <v>F</v>
      </c>
    </row>
    <row r="26" spans="1:39" s="139" customFormat="1">
      <c r="A26" s="137"/>
      <c r="B26" s="136" t="s">
        <v>540</v>
      </c>
      <c r="C26" s="136">
        <v>2013</v>
      </c>
      <c r="D26" s="141" t="s">
        <v>541</v>
      </c>
      <c r="E26" s="142" t="s">
        <v>17</v>
      </c>
      <c r="F26" s="143"/>
      <c r="G26" s="136"/>
      <c r="H26" s="136" t="s">
        <v>20</v>
      </c>
      <c r="I26" s="136"/>
      <c r="J26" s="136" t="s">
        <v>703</v>
      </c>
      <c r="K26" s="136" t="s">
        <v>645</v>
      </c>
      <c r="L26" s="136" t="s">
        <v>543</v>
      </c>
      <c r="M26" s="137"/>
      <c r="N26" s="137"/>
      <c r="O26" s="137"/>
      <c r="P26" s="137"/>
      <c r="Q26" s="137"/>
      <c r="R26" s="137"/>
      <c r="S26" s="137"/>
      <c r="T26" s="137"/>
      <c r="U26" s="146">
        <v>0.99</v>
      </c>
      <c r="V26" s="137"/>
      <c r="W26" s="137"/>
      <c r="X26" s="137">
        <f t="shared" si="0"/>
        <v>0.99</v>
      </c>
      <c r="Y26" s="147">
        <v>0.53</v>
      </c>
      <c r="Z26" s="138" t="str">
        <f t="shared" si="1"/>
        <v>F</v>
      </c>
      <c r="AA26" s="166" t="str">
        <f>+J26</f>
        <v>SE pine</v>
      </c>
      <c r="AB26" s="157" t="s">
        <v>814</v>
      </c>
      <c r="AC26" s="157" t="s">
        <v>815</v>
      </c>
      <c r="AD26" s="157" t="s">
        <v>816</v>
      </c>
      <c r="AE26" s="157" t="s">
        <v>817</v>
      </c>
      <c r="AF26" s="157" t="s">
        <v>818</v>
      </c>
      <c r="AG26" s="157" t="s">
        <v>819</v>
      </c>
      <c r="AH26" s="137"/>
      <c r="AI26" s="137"/>
      <c r="AJ26" s="137"/>
      <c r="AK26" s="137"/>
      <c r="AL26" s="137"/>
      <c r="AM26" s="137"/>
    </row>
    <row r="27" spans="1:39" s="139" customFormat="1">
      <c r="A27" s="140"/>
      <c r="B27" s="136" t="s">
        <v>540</v>
      </c>
      <c r="C27" s="136">
        <v>2013</v>
      </c>
      <c r="D27" s="141" t="s">
        <v>541</v>
      </c>
      <c r="E27" s="142" t="s">
        <v>17</v>
      </c>
      <c r="F27" s="143"/>
      <c r="G27" s="136"/>
      <c r="H27" s="136" t="s">
        <v>20</v>
      </c>
      <c r="I27" s="136"/>
      <c r="J27" s="136" t="s">
        <v>703</v>
      </c>
      <c r="K27" s="136" t="s">
        <v>645</v>
      </c>
      <c r="L27" s="136" t="s">
        <v>543</v>
      </c>
      <c r="M27" s="144"/>
      <c r="N27" s="144"/>
      <c r="O27" s="136"/>
      <c r="P27" s="145"/>
      <c r="Q27" s="145"/>
      <c r="R27" s="136"/>
      <c r="S27" s="136"/>
      <c r="T27" s="136"/>
      <c r="U27" s="146">
        <v>0.97</v>
      </c>
      <c r="V27" s="136"/>
      <c r="W27" s="136"/>
      <c r="X27" s="137">
        <f t="shared" si="0"/>
        <v>0.97</v>
      </c>
      <c r="Y27" s="147">
        <v>0.38</v>
      </c>
      <c r="Z27" s="138" t="str">
        <f t="shared" si="1"/>
        <v>F</v>
      </c>
      <c r="AA27" s="233" t="s">
        <v>825</v>
      </c>
      <c r="AB27" s="234">
        <f>AVERAGE($Y$26:$Y$56)</f>
        <v>0.7049903225806452</v>
      </c>
      <c r="AC27" s="234">
        <f>MEDIAN($Y$26:$Y$56)</f>
        <v>0.23</v>
      </c>
      <c r="AD27" s="234">
        <f>MAX($Y$26:$Y$56)</f>
        <v>5.3</v>
      </c>
      <c r="AE27" s="234">
        <f>MIN($Y$26:$Y$56)</f>
        <v>0.02</v>
      </c>
      <c r="AF27" s="234">
        <f>STDEV($Y$26:$Y$56)</f>
        <v>1.1599638139053703</v>
      </c>
      <c r="AG27" s="235">
        <f>COUNT($Y$26:$Y$56)</f>
        <v>31</v>
      </c>
      <c r="AH27" s="137"/>
      <c r="AI27" s="137"/>
      <c r="AJ27" s="137"/>
      <c r="AK27" s="137"/>
      <c r="AL27" s="137"/>
      <c r="AM27" s="137"/>
    </row>
    <row r="28" spans="1:39" s="139" customFormat="1">
      <c r="A28" s="140">
        <v>173</v>
      </c>
      <c r="B28" s="136" t="s">
        <v>302</v>
      </c>
      <c r="C28" s="136">
        <v>2011</v>
      </c>
      <c r="D28" s="141" t="s">
        <v>352</v>
      </c>
      <c r="E28" s="142" t="s">
        <v>354</v>
      </c>
      <c r="F28" s="143" t="s">
        <v>358</v>
      </c>
      <c r="G28" s="136" t="s">
        <v>359</v>
      </c>
      <c r="H28" s="136" t="s">
        <v>20</v>
      </c>
      <c r="I28" s="136"/>
      <c r="J28" s="136" t="s">
        <v>703</v>
      </c>
      <c r="K28" s="136" t="s">
        <v>615</v>
      </c>
      <c r="L28" s="136" t="s">
        <v>356</v>
      </c>
      <c r="M28" s="144"/>
      <c r="N28" s="144"/>
      <c r="O28" s="136" t="s">
        <v>362</v>
      </c>
      <c r="P28" s="145"/>
      <c r="Q28" s="145"/>
      <c r="R28" s="136"/>
      <c r="S28" s="136"/>
      <c r="T28" s="136"/>
      <c r="U28" s="146">
        <v>0.95699999999999996</v>
      </c>
      <c r="V28" s="136"/>
      <c r="W28" s="136"/>
      <c r="X28" s="137">
        <f t="shared" si="0"/>
        <v>0.95699999999999996</v>
      </c>
      <c r="Y28" s="136">
        <v>0.12</v>
      </c>
      <c r="Z28" s="138" t="str">
        <f t="shared" si="1"/>
        <v>F</v>
      </c>
      <c r="AA28" s="157" t="s">
        <v>826</v>
      </c>
      <c r="AB28" s="158">
        <f>AVERAGE($Y$26:$Y$43)</f>
        <v>0.4824722222222223</v>
      </c>
      <c r="AC28" s="158">
        <f>MEDIAN($Y$26:$Y$43)</f>
        <v>0.14524999999999999</v>
      </c>
      <c r="AD28" s="158">
        <f>MAX($Y$26:$Y$43)</f>
        <v>3.6</v>
      </c>
      <c r="AE28" s="158">
        <f>MIN($Y$26:$Y$43)</f>
        <v>0.02</v>
      </c>
      <c r="AF28" s="158">
        <f>STDEV($Y$26:$Y$43)</f>
        <v>0.89979397106197445</v>
      </c>
      <c r="AG28" s="164">
        <f>COUNT($Y$26:$Y$43)</f>
        <v>18</v>
      </c>
      <c r="AH28" s="137"/>
      <c r="AI28" s="137"/>
      <c r="AJ28" s="137"/>
      <c r="AK28" s="137"/>
      <c r="AL28" s="137"/>
      <c r="AM28" s="137"/>
    </row>
    <row r="29" spans="1:39" s="139" customFormat="1">
      <c r="A29" s="140">
        <v>173</v>
      </c>
      <c r="B29" s="136" t="s">
        <v>302</v>
      </c>
      <c r="C29" s="136">
        <v>2011</v>
      </c>
      <c r="D29" s="141" t="s">
        <v>352</v>
      </c>
      <c r="E29" s="142" t="s">
        <v>354</v>
      </c>
      <c r="F29" s="143" t="s">
        <v>358</v>
      </c>
      <c r="G29" s="136" t="s">
        <v>359</v>
      </c>
      <c r="H29" s="136" t="s">
        <v>20</v>
      </c>
      <c r="I29" s="136"/>
      <c r="J29" s="136" t="s">
        <v>703</v>
      </c>
      <c r="K29" s="136" t="s">
        <v>615</v>
      </c>
      <c r="L29" s="136" t="s">
        <v>360</v>
      </c>
      <c r="M29" s="144"/>
      <c r="N29" s="144"/>
      <c r="O29" s="136" t="s">
        <v>361</v>
      </c>
      <c r="P29" s="145"/>
      <c r="Q29" s="145"/>
      <c r="R29" s="136"/>
      <c r="S29" s="136"/>
      <c r="T29" s="136"/>
      <c r="U29" s="146">
        <v>0.95099999999999996</v>
      </c>
      <c r="V29" s="136"/>
      <c r="W29" s="136"/>
      <c r="X29" s="137">
        <f t="shared" si="0"/>
        <v>0.95099999999999996</v>
      </c>
      <c r="Y29" s="136">
        <v>0.23</v>
      </c>
      <c r="Z29" s="138" t="str">
        <f t="shared" si="1"/>
        <v>F</v>
      </c>
      <c r="AA29" s="157" t="s">
        <v>827</v>
      </c>
      <c r="AB29" s="158">
        <f>AVERAGE($Y$44:$Y$56)</f>
        <v>1.0130923076923075</v>
      </c>
      <c r="AC29" s="158">
        <f>MEDIAN($Y$44:$Y$56)</f>
        <v>0.49819999999999998</v>
      </c>
      <c r="AD29" s="158">
        <f>MAX($Y$44:$Y$56)</f>
        <v>5.3</v>
      </c>
      <c r="AE29" s="158">
        <f>MIN($Y$44:$Y$56)</f>
        <v>0.05</v>
      </c>
      <c r="AF29" s="158">
        <f>STDEV($Y$44:$Y$56)</f>
        <v>1.4281829635715089</v>
      </c>
      <c r="AG29" s="165">
        <f>COUNT($Y$44:$Y$56)</f>
        <v>13</v>
      </c>
      <c r="AH29" s="137"/>
      <c r="AI29" s="137"/>
      <c r="AJ29" s="137"/>
      <c r="AK29" s="137"/>
      <c r="AL29" s="137"/>
      <c r="AM29" s="137"/>
    </row>
    <row r="30" spans="1:39" s="139" customFormat="1">
      <c r="A30" s="137"/>
      <c r="B30" s="136" t="s">
        <v>544</v>
      </c>
      <c r="C30" s="136">
        <v>2005</v>
      </c>
      <c r="D30" s="141" t="s">
        <v>545</v>
      </c>
      <c r="E30" s="142" t="s">
        <v>17</v>
      </c>
      <c r="F30" s="137"/>
      <c r="G30" s="137"/>
      <c r="H30" s="136" t="s">
        <v>18</v>
      </c>
      <c r="I30" s="136"/>
      <c r="J30" s="136" t="s">
        <v>703</v>
      </c>
      <c r="K30" s="136" t="s">
        <v>615</v>
      </c>
      <c r="L30" s="136" t="s">
        <v>546</v>
      </c>
      <c r="M30" s="137"/>
      <c r="N30" s="137"/>
      <c r="O30" s="137"/>
      <c r="P30" s="137"/>
      <c r="Q30" s="137"/>
      <c r="R30" s="137"/>
      <c r="S30" s="137"/>
      <c r="T30" s="137"/>
      <c r="U30" s="146">
        <v>0.95</v>
      </c>
      <c r="V30" s="137"/>
      <c r="W30" s="137"/>
      <c r="X30" s="137">
        <f t="shared" si="0"/>
        <v>0.95</v>
      </c>
      <c r="Y30" s="147">
        <v>0.15049999999999999</v>
      </c>
      <c r="Z30" s="138" t="str">
        <f t="shared" si="1"/>
        <v>F</v>
      </c>
      <c r="AA30" s="137" t="s">
        <v>547</v>
      </c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</row>
    <row r="31" spans="1:39" s="139" customFormat="1">
      <c r="A31" s="140">
        <v>173</v>
      </c>
      <c r="B31" s="136" t="s">
        <v>302</v>
      </c>
      <c r="C31" s="136">
        <v>2011</v>
      </c>
      <c r="D31" s="141" t="s">
        <v>352</v>
      </c>
      <c r="E31" s="142" t="s">
        <v>354</v>
      </c>
      <c r="F31" s="143" t="s">
        <v>366</v>
      </c>
      <c r="G31" s="136" t="s">
        <v>258</v>
      </c>
      <c r="H31" s="136" t="s">
        <v>20</v>
      </c>
      <c r="I31" s="136"/>
      <c r="J31" s="136" t="s">
        <v>703</v>
      </c>
      <c r="K31" s="136" t="s">
        <v>621</v>
      </c>
      <c r="L31" s="136" t="s">
        <v>367</v>
      </c>
      <c r="M31" s="144"/>
      <c r="N31" s="144"/>
      <c r="O31" s="136" t="s">
        <v>368</v>
      </c>
      <c r="P31" s="145"/>
      <c r="Q31" s="145"/>
      <c r="R31" s="136"/>
      <c r="S31" s="136"/>
      <c r="T31" s="136"/>
      <c r="U31" s="146">
        <v>0.94499999999999995</v>
      </c>
      <c r="V31" s="136"/>
      <c r="W31" s="136"/>
      <c r="X31" s="137">
        <f t="shared" si="0"/>
        <v>0.94499999999999995</v>
      </c>
      <c r="Y31" s="136">
        <v>0.19</v>
      </c>
      <c r="Z31" s="138" t="str">
        <f t="shared" si="1"/>
        <v>F</v>
      </c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</row>
    <row r="32" spans="1:39" s="139" customFormat="1">
      <c r="A32" s="136"/>
      <c r="B32" s="154" t="s">
        <v>552</v>
      </c>
      <c r="C32" s="154">
        <v>2013</v>
      </c>
      <c r="D32" s="154"/>
      <c r="E32" s="154" t="s">
        <v>561</v>
      </c>
      <c r="F32" s="154"/>
      <c r="G32" s="154"/>
      <c r="H32" s="154" t="s">
        <v>553</v>
      </c>
      <c r="I32" s="154"/>
      <c r="J32" s="154" t="s">
        <v>703</v>
      </c>
      <c r="K32" s="154" t="s">
        <v>736</v>
      </c>
      <c r="L32" s="136" t="s">
        <v>802</v>
      </c>
      <c r="M32" s="136"/>
      <c r="N32" s="136"/>
      <c r="O32" s="136" t="s">
        <v>562</v>
      </c>
      <c r="P32" s="136"/>
      <c r="Q32" s="136"/>
      <c r="R32" s="136"/>
      <c r="S32" s="136"/>
      <c r="T32" s="136"/>
      <c r="U32" s="136">
        <v>0.94399999999999995</v>
      </c>
      <c r="V32" s="136"/>
      <c r="W32" s="136"/>
      <c r="X32" s="137">
        <f t="shared" si="0"/>
        <v>0.94399999999999995</v>
      </c>
      <c r="Y32" s="136">
        <v>0.06</v>
      </c>
      <c r="Z32" s="138" t="str">
        <f t="shared" si="1"/>
        <v>F</v>
      </c>
      <c r="AA32" s="154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</row>
    <row r="33" spans="1:39" s="139" customFormat="1">
      <c r="A33" s="140">
        <v>174</v>
      </c>
      <c r="B33" s="136" t="s">
        <v>407</v>
      </c>
      <c r="C33" s="136">
        <v>2009</v>
      </c>
      <c r="D33" s="141" t="s">
        <v>408</v>
      </c>
      <c r="E33" s="142" t="s">
        <v>16</v>
      </c>
      <c r="F33" s="143" t="s">
        <v>410</v>
      </c>
      <c r="G33" s="136" t="s">
        <v>417</v>
      </c>
      <c r="H33" s="136" t="s">
        <v>417</v>
      </c>
      <c r="I33" s="136"/>
      <c r="J33" s="136" t="s">
        <v>703</v>
      </c>
      <c r="K33" s="136" t="s">
        <v>736</v>
      </c>
      <c r="L33" s="136" t="s">
        <v>418</v>
      </c>
      <c r="M33" s="144"/>
      <c r="N33" s="144"/>
      <c r="O33" s="136" t="s">
        <v>418</v>
      </c>
      <c r="P33" s="145"/>
      <c r="Q33" s="145"/>
      <c r="R33" s="136"/>
      <c r="S33" s="136"/>
      <c r="T33" s="136"/>
      <c r="U33" s="146">
        <v>0.94399999999999995</v>
      </c>
      <c r="V33" s="136"/>
      <c r="W33" s="136"/>
      <c r="X33" s="137">
        <f t="shared" si="0"/>
        <v>0.94399999999999995</v>
      </c>
      <c r="Y33" s="147">
        <v>3.6</v>
      </c>
      <c r="Z33" s="138" t="str">
        <f t="shared" si="1"/>
        <v>F</v>
      </c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</row>
    <row r="34" spans="1:39" s="139" customFormat="1">
      <c r="A34" s="140">
        <v>173</v>
      </c>
      <c r="B34" s="136" t="s">
        <v>302</v>
      </c>
      <c r="C34" s="136">
        <v>2011</v>
      </c>
      <c r="D34" s="141" t="s">
        <v>352</v>
      </c>
      <c r="E34" s="142" t="s">
        <v>354</v>
      </c>
      <c r="F34" s="143" t="s">
        <v>355</v>
      </c>
      <c r="G34" s="136" t="s">
        <v>258</v>
      </c>
      <c r="H34" s="136" t="s">
        <v>20</v>
      </c>
      <c r="I34" s="136"/>
      <c r="J34" s="136" t="s">
        <v>703</v>
      </c>
      <c r="K34" s="136" t="s">
        <v>615</v>
      </c>
      <c r="L34" s="136" t="s">
        <v>356</v>
      </c>
      <c r="M34" s="144"/>
      <c r="N34" s="144"/>
      <c r="O34" s="136" t="s">
        <v>357</v>
      </c>
      <c r="P34" s="145"/>
      <c r="Q34" s="145"/>
      <c r="R34" s="136"/>
      <c r="S34" s="136"/>
      <c r="T34" s="136"/>
      <c r="U34" s="146">
        <v>0.94299999999999995</v>
      </c>
      <c r="V34" s="136"/>
      <c r="W34" s="136"/>
      <c r="X34" s="137">
        <f t="shared" ref="X34:X65" si="2">IF(R34&lt;&gt;0,IF(R34&gt;1,R34/100,R34),IF(U34&lt;&gt;0,IF(U34&gt;1,U34/100,U34),""))</f>
        <v>0.94299999999999995</v>
      </c>
      <c r="Y34" s="136">
        <v>0.23</v>
      </c>
      <c r="Z34" s="138" t="str">
        <f t="shared" ref="Z34:Z65" si="3">IF(X34&lt;&gt;"",IF(X34&lt;0.9,"S","F"),"")</f>
        <v>F</v>
      </c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</row>
    <row r="35" spans="1:39" s="139" customFormat="1">
      <c r="A35" s="140">
        <v>173</v>
      </c>
      <c r="B35" s="136" t="s">
        <v>302</v>
      </c>
      <c r="C35" s="136">
        <v>2011</v>
      </c>
      <c r="D35" s="141" t="s">
        <v>352</v>
      </c>
      <c r="E35" s="142" t="s">
        <v>354</v>
      </c>
      <c r="F35" s="143" t="s">
        <v>363</v>
      </c>
      <c r="G35" s="136" t="s">
        <v>359</v>
      </c>
      <c r="H35" s="136" t="s">
        <v>20</v>
      </c>
      <c r="I35" s="136"/>
      <c r="J35" s="136" t="s">
        <v>703</v>
      </c>
      <c r="K35" s="136" t="s">
        <v>615</v>
      </c>
      <c r="L35" s="136" t="s">
        <v>364</v>
      </c>
      <c r="M35" s="144"/>
      <c r="N35" s="144"/>
      <c r="O35" s="136" t="s">
        <v>365</v>
      </c>
      <c r="P35" s="145"/>
      <c r="Q35" s="145"/>
      <c r="R35" s="136"/>
      <c r="S35" s="136"/>
      <c r="T35" s="136"/>
      <c r="U35" s="146">
        <v>0.94199999999999995</v>
      </c>
      <c r="V35" s="136"/>
      <c r="W35" s="136"/>
      <c r="X35" s="137">
        <f t="shared" si="2"/>
        <v>0.94199999999999995</v>
      </c>
      <c r="Y35" s="136">
        <v>7.3999999999999996E-2</v>
      </c>
      <c r="Z35" s="138" t="str">
        <f t="shared" si="3"/>
        <v>F</v>
      </c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</row>
    <row r="36" spans="1:39" s="139" customFormat="1">
      <c r="A36" s="136"/>
      <c r="B36" s="154" t="s">
        <v>552</v>
      </c>
      <c r="C36" s="154">
        <v>2013</v>
      </c>
      <c r="D36" s="154"/>
      <c r="E36" s="154" t="s">
        <v>561</v>
      </c>
      <c r="F36" s="154"/>
      <c r="G36" s="154"/>
      <c r="H36" s="154" t="s">
        <v>553</v>
      </c>
      <c r="I36" s="154"/>
      <c r="J36" s="154" t="s">
        <v>703</v>
      </c>
      <c r="K36" s="154" t="s">
        <v>736</v>
      </c>
      <c r="L36" s="136" t="s">
        <v>800</v>
      </c>
      <c r="M36" s="136"/>
      <c r="N36" s="136"/>
      <c r="O36" s="145" t="s">
        <v>556</v>
      </c>
      <c r="P36" s="136"/>
      <c r="Q36" s="136"/>
      <c r="R36" s="136"/>
      <c r="S36" s="136"/>
      <c r="T36" s="136"/>
      <c r="U36" s="136">
        <v>0.93500000000000005</v>
      </c>
      <c r="V36" s="136"/>
      <c r="W36" s="136"/>
      <c r="X36" s="137">
        <f t="shared" si="2"/>
        <v>0.93500000000000005</v>
      </c>
      <c r="Y36" s="136">
        <v>0.14000000000000001</v>
      </c>
      <c r="Z36" s="138" t="str">
        <f t="shared" si="3"/>
        <v>F</v>
      </c>
      <c r="AA36" s="154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</row>
    <row r="37" spans="1:39" s="139" customFormat="1">
      <c r="A37" s="136"/>
      <c r="B37" s="154" t="s">
        <v>552</v>
      </c>
      <c r="C37" s="154">
        <v>2013</v>
      </c>
      <c r="D37" s="154"/>
      <c r="E37" s="154" t="s">
        <v>561</v>
      </c>
      <c r="F37" s="154"/>
      <c r="G37" s="154"/>
      <c r="H37" s="154" t="s">
        <v>553</v>
      </c>
      <c r="I37" s="154"/>
      <c r="J37" s="154" t="s">
        <v>703</v>
      </c>
      <c r="K37" s="154" t="s">
        <v>736</v>
      </c>
      <c r="L37" s="136" t="s">
        <v>798</v>
      </c>
      <c r="M37" s="136"/>
      <c r="N37" s="136"/>
      <c r="O37" s="145" t="s">
        <v>554</v>
      </c>
      <c r="P37" s="136"/>
      <c r="Q37" s="136"/>
      <c r="R37" s="136"/>
      <c r="S37" s="136"/>
      <c r="T37" s="136"/>
      <c r="U37" s="136">
        <v>0.93200000000000005</v>
      </c>
      <c r="V37" s="136"/>
      <c r="W37" s="136"/>
      <c r="X37" s="137">
        <f t="shared" si="2"/>
        <v>0.93200000000000005</v>
      </c>
      <c r="Y37" s="136">
        <v>0.11</v>
      </c>
      <c r="Z37" s="138" t="str">
        <f t="shared" si="3"/>
        <v>F</v>
      </c>
      <c r="AA37" s="154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</row>
    <row r="38" spans="1:39" s="139" customFormat="1">
      <c r="A38" s="140">
        <v>173</v>
      </c>
      <c r="B38" s="136" t="s">
        <v>302</v>
      </c>
      <c r="C38" s="136">
        <v>2011</v>
      </c>
      <c r="D38" s="141" t="s">
        <v>352</v>
      </c>
      <c r="E38" s="142" t="s">
        <v>394</v>
      </c>
      <c r="F38" s="143" t="s">
        <v>400</v>
      </c>
      <c r="G38" s="136" t="s">
        <v>359</v>
      </c>
      <c r="H38" s="136" t="s">
        <v>20</v>
      </c>
      <c r="I38" s="136"/>
      <c r="J38" s="136" t="s">
        <v>703</v>
      </c>
      <c r="K38" s="136" t="s">
        <v>627</v>
      </c>
      <c r="L38" s="136" t="s">
        <v>19</v>
      </c>
      <c r="M38" s="144"/>
      <c r="N38" s="144"/>
      <c r="O38" s="136" t="s">
        <v>401</v>
      </c>
      <c r="P38" s="145"/>
      <c r="Q38" s="145"/>
      <c r="R38" s="136"/>
      <c r="S38" s="136"/>
      <c r="T38" s="136"/>
      <c r="U38" s="146">
        <v>0.93100000000000005</v>
      </c>
      <c r="V38" s="136"/>
      <c r="W38" s="136"/>
      <c r="X38" s="137">
        <f t="shared" si="2"/>
        <v>0.93100000000000005</v>
      </c>
      <c r="Y38" s="136">
        <v>0.03</v>
      </c>
      <c r="Z38" s="138" t="str">
        <f t="shared" si="3"/>
        <v>F</v>
      </c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</row>
    <row r="39" spans="1:39" s="139" customFormat="1">
      <c r="A39" s="140">
        <v>174</v>
      </c>
      <c r="B39" s="136" t="s">
        <v>407</v>
      </c>
      <c r="C39" s="136">
        <v>2009</v>
      </c>
      <c r="D39" s="141" t="s">
        <v>408</v>
      </c>
      <c r="E39" s="142" t="s">
        <v>16</v>
      </c>
      <c r="F39" s="143" t="s">
        <v>410</v>
      </c>
      <c r="G39" s="136"/>
      <c r="H39" s="136"/>
      <c r="I39" s="136"/>
      <c r="J39" s="136" t="s">
        <v>703</v>
      </c>
      <c r="K39" s="136" t="s">
        <v>736</v>
      </c>
      <c r="L39" s="136" t="s">
        <v>428</v>
      </c>
      <c r="M39" s="144"/>
      <c r="N39" s="144"/>
      <c r="O39" s="136" t="s">
        <v>429</v>
      </c>
      <c r="P39" s="145"/>
      <c r="Q39" s="145"/>
      <c r="R39" s="136"/>
      <c r="S39" s="136"/>
      <c r="T39" s="136"/>
      <c r="U39" s="146">
        <v>0.93</v>
      </c>
      <c r="V39" s="136"/>
      <c r="W39" s="136"/>
      <c r="X39" s="137">
        <f t="shared" si="2"/>
        <v>0.93</v>
      </c>
      <c r="Y39" s="147">
        <v>2</v>
      </c>
      <c r="Z39" s="138" t="str">
        <f t="shared" si="3"/>
        <v>F</v>
      </c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</row>
    <row r="40" spans="1:39" s="139" customFormat="1">
      <c r="A40" s="140">
        <v>134</v>
      </c>
      <c r="B40" s="136" t="s">
        <v>122</v>
      </c>
      <c r="C40" s="152">
        <v>1999</v>
      </c>
      <c r="D40" s="141" t="s">
        <v>257</v>
      </c>
      <c r="E40" s="142" t="s">
        <v>207</v>
      </c>
      <c r="F40" s="148">
        <v>35546</v>
      </c>
      <c r="G40" s="136" t="s">
        <v>258</v>
      </c>
      <c r="H40" s="136" t="s">
        <v>20</v>
      </c>
      <c r="I40" s="136"/>
      <c r="J40" s="136" t="s">
        <v>703</v>
      </c>
      <c r="K40" s="136" t="s">
        <v>703</v>
      </c>
      <c r="L40" s="153" t="s">
        <v>259</v>
      </c>
      <c r="M40" s="136" t="s">
        <v>260</v>
      </c>
      <c r="N40" s="136" t="s">
        <v>261</v>
      </c>
      <c r="O40" s="136"/>
      <c r="P40" s="136"/>
      <c r="Q40" s="136"/>
      <c r="R40" s="136"/>
      <c r="S40" s="136"/>
      <c r="T40" s="136"/>
      <c r="U40" s="136">
        <v>0.92700000000000005</v>
      </c>
      <c r="V40" s="149"/>
      <c r="W40" s="149"/>
      <c r="X40" s="137">
        <f t="shared" si="2"/>
        <v>0.92700000000000005</v>
      </c>
      <c r="Y40" s="149">
        <v>0.56000000000000005</v>
      </c>
      <c r="Z40" s="138" t="str">
        <f t="shared" si="3"/>
        <v>F</v>
      </c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</row>
    <row r="41" spans="1:39" s="139" customFormat="1">
      <c r="A41" s="136"/>
      <c r="B41" s="154" t="s">
        <v>552</v>
      </c>
      <c r="C41" s="154">
        <v>2013</v>
      </c>
      <c r="D41" s="154"/>
      <c r="E41" s="154" t="s">
        <v>561</v>
      </c>
      <c r="F41" s="154"/>
      <c r="G41" s="154"/>
      <c r="H41" s="154" t="s">
        <v>553</v>
      </c>
      <c r="I41" s="154"/>
      <c r="J41" s="154" t="s">
        <v>703</v>
      </c>
      <c r="K41" s="154" t="s">
        <v>736</v>
      </c>
      <c r="L41" s="136" t="s">
        <v>799</v>
      </c>
      <c r="M41" s="136"/>
      <c r="N41" s="136"/>
      <c r="O41" s="145" t="s">
        <v>555</v>
      </c>
      <c r="P41" s="136"/>
      <c r="Q41" s="136"/>
      <c r="R41" s="136"/>
      <c r="S41" s="136"/>
      <c r="T41" s="136"/>
      <c r="U41" s="136">
        <v>0.91900000000000004</v>
      </c>
      <c r="V41" s="136"/>
      <c r="W41" s="136"/>
      <c r="X41" s="137">
        <f t="shared" si="2"/>
        <v>0.91900000000000004</v>
      </c>
      <c r="Y41" s="136">
        <v>0.13</v>
      </c>
      <c r="Z41" s="138" t="str">
        <f t="shared" si="3"/>
        <v>F</v>
      </c>
      <c r="AA41" s="154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</row>
    <row r="42" spans="1:39" s="139" customFormat="1">
      <c r="A42" s="140">
        <v>173</v>
      </c>
      <c r="B42" s="136" t="s">
        <v>302</v>
      </c>
      <c r="C42" s="136">
        <v>2011</v>
      </c>
      <c r="D42" s="141" t="s">
        <v>352</v>
      </c>
      <c r="E42" s="142" t="s">
        <v>394</v>
      </c>
      <c r="F42" s="143" t="s">
        <v>400</v>
      </c>
      <c r="G42" s="136" t="s">
        <v>359</v>
      </c>
      <c r="H42" s="136" t="s">
        <v>20</v>
      </c>
      <c r="I42" s="136"/>
      <c r="J42" s="136" t="s">
        <v>703</v>
      </c>
      <c r="K42" s="136" t="s">
        <v>730</v>
      </c>
      <c r="L42" s="136" t="s">
        <v>403</v>
      </c>
      <c r="M42" s="144"/>
      <c r="N42" s="144"/>
      <c r="O42" s="136" t="s">
        <v>404</v>
      </c>
      <c r="P42" s="145"/>
      <c r="Q42" s="145"/>
      <c r="R42" s="136"/>
      <c r="S42" s="136"/>
      <c r="T42" s="136"/>
      <c r="U42" s="146">
        <v>0.91400000000000003</v>
      </c>
      <c r="V42" s="136"/>
      <c r="W42" s="136"/>
      <c r="X42" s="137">
        <f t="shared" si="2"/>
        <v>0.91400000000000003</v>
      </c>
      <c r="Y42" s="136">
        <v>0.02</v>
      </c>
      <c r="Z42" s="138" t="str">
        <f t="shared" si="3"/>
        <v>F</v>
      </c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</row>
    <row r="43" spans="1:39" s="139" customFormat="1">
      <c r="A43" s="136"/>
      <c r="B43" s="154" t="s">
        <v>552</v>
      </c>
      <c r="C43" s="154">
        <v>2013</v>
      </c>
      <c r="D43" s="154"/>
      <c r="E43" s="154" t="s">
        <v>561</v>
      </c>
      <c r="F43" s="154"/>
      <c r="G43" s="154"/>
      <c r="H43" s="154" t="s">
        <v>553</v>
      </c>
      <c r="I43" s="154"/>
      <c r="J43" s="154" t="s">
        <v>703</v>
      </c>
      <c r="K43" s="154" t="s">
        <v>647</v>
      </c>
      <c r="L43" s="136" t="s">
        <v>801</v>
      </c>
      <c r="M43" s="136"/>
      <c r="N43" s="136"/>
      <c r="O43" s="136" t="s">
        <v>557</v>
      </c>
      <c r="P43" s="136"/>
      <c r="Q43" s="136"/>
      <c r="R43" s="136"/>
      <c r="S43" s="136"/>
      <c r="T43" s="136"/>
      <c r="U43" s="136">
        <v>0.90400000000000003</v>
      </c>
      <c r="V43" s="136"/>
      <c r="W43" s="136"/>
      <c r="X43" s="137">
        <f t="shared" si="2"/>
        <v>0.90400000000000003</v>
      </c>
      <c r="Y43" s="136">
        <v>0.13</v>
      </c>
      <c r="Z43" s="138" t="str">
        <f t="shared" si="3"/>
        <v>F</v>
      </c>
      <c r="AA43" s="154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</row>
    <row r="44" spans="1:39" s="139" customFormat="1">
      <c r="A44" s="140">
        <v>172</v>
      </c>
      <c r="B44" s="136" t="s">
        <v>302</v>
      </c>
      <c r="C44" s="136">
        <v>2010</v>
      </c>
      <c r="D44" s="136" t="s">
        <v>303</v>
      </c>
      <c r="E44" s="142" t="s">
        <v>305</v>
      </c>
      <c r="F44" s="143">
        <v>40227</v>
      </c>
      <c r="G44" s="136" t="s">
        <v>332</v>
      </c>
      <c r="H44" s="136" t="s">
        <v>18</v>
      </c>
      <c r="I44" s="136"/>
      <c r="J44" s="136" t="s">
        <v>703</v>
      </c>
      <c r="K44" s="136" t="s">
        <v>627</v>
      </c>
      <c r="L44" s="136" t="s">
        <v>333</v>
      </c>
      <c r="M44" s="151"/>
      <c r="N44" s="151"/>
      <c r="O44" s="136"/>
      <c r="P44" s="145"/>
      <c r="Q44" s="145"/>
      <c r="R44" s="136"/>
      <c r="S44" s="136"/>
      <c r="T44" s="136"/>
      <c r="U44" s="145">
        <v>0.89400000000000002</v>
      </c>
      <c r="V44" s="146"/>
      <c r="W44" s="146"/>
      <c r="X44" s="137">
        <f t="shared" si="2"/>
        <v>0.89400000000000002</v>
      </c>
      <c r="Y44" s="146">
        <v>0.95199999999999996</v>
      </c>
      <c r="Z44" s="138" t="str">
        <f t="shared" si="3"/>
        <v>S</v>
      </c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</row>
    <row r="45" spans="1:39" s="139" customFormat="1">
      <c r="A45" s="136"/>
      <c r="B45" s="154" t="s">
        <v>552</v>
      </c>
      <c r="C45" s="154">
        <v>2013</v>
      </c>
      <c r="D45" s="154"/>
      <c r="E45" s="154" t="s">
        <v>394</v>
      </c>
      <c r="F45" s="154"/>
      <c r="G45" s="154"/>
      <c r="H45" s="154" t="s">
        <v>553</v>
      </c>
      <c r="I45" s="154"/>
      <c r="J45" s="154" t="s">
        <v>703</v>
      </c>
      <c r="K45" s="154" t="s">
        <v>736</v>
      </c>
      <c r="L45" s="136" t="s">
        <v>798</v>
      </c>
      <c r="M45" s="136"/>
      <c r="N45" s="136"/>
      <c r="O45" s="136" t="s">
        <v>554</v>
      </c>
      <c r="P45" s="136"/>
      <c r="Q45" s="136"/>
      <c r="R45" s="136"/>
      <c r="S45" s="136"/>
      <c r="T45" s="136"/>
      <c r="U45" s="136">
        <v>0.876</v>
      </c>
      <c r="V45" s="136"/>
      <c r="W45" s="136"/>
      <c r="X45" s="137">
        <f t="shared" si="2"/>
        <v>0.876</v>
      </c>
      <c r="Y45" s="136">
        <v>0.05</v>
      </c>
      <c r="Z45" s="138" t="str">
        <f t="shared" si="3"/>
        <v>S</v>
      </c>
      <c r="AA45" s="154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</row>
    <row r="46" spans="1:39" s="139" customFormat="1">
      <c r="A46" s="140">
        <v>173</v>
      </c>
      <c r="B46" s="136" t="s">
        <v>302</v>
      </c>
      <c r="C46" s="136">
        <v>2011</v>
      </c>
      <c r="D46" s="141" t="s">
        <v>352</v>
      </c>
      <c r="E46" s="142" t="s">
        <v>394</v>
      </c>
      <c r="F46" s="143" t="s">
        <v>400</v>
      </c>
      <c r="G46" s="136" t="s">
        <v>359</v>
      </c>
      <c r="H46" s="136" t="s">
        <v>20</v>
      </c>
      <c r="I46" s="136"/>
      <c r="J46" s="136" t="s">
        <v>703</v>
      </c>
      <c r="K46" s="136" t="s">
        <v>627</v>
      </c>
      <c r="L46" s="136" t="s">
        <v>19</v>
      </c>
      <c r="M46" s="144"/>
      <c r="N46" s="144"/>
      <c r="O46" s="136" t="s">
        <v>402</v>
      </c>
      <c r="P46" s="145"/>
      <c r="Q46" s="145"/>
      <c r="R46" s="136"/>
      <c r="S46" s="136"/>
      <c r="T46" s="136"/>
      <c r="U46" s="146">
        <v>0.86399999999999999</v>
      </c>
      <c r="V46" s="136"/>
      <c r="W46" s="136"/>
      <c r="X46" s="137">
        <f t="shared" si="2"/>
        <v>0.86399999999999999</v>
      </c>
      <c r="Y46" s="136">
        <v>0.14000000000000001</v>
      </c>
      <c r="Z46" s="138" t="str">
        <f t="shared" si="3"/>
        <v>S</v>
      </c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</row>
    <row r="47" spans="1:39" s="139" customFormat="1">
      <c r="A47" s="136"/>
      <c r="B47" s="154" t="s">
        <v>552</v>
      </c>
      <c r="C47" s="154">
        <v>2013</v>
      </c>
      <c r="D47" s="154"/>
      <c r="E47" s="154" t="s">
        <v>394</v>
      </c>
      <c r="F47" s="154"/>
      <c r="G47" s="154"/>
      <c r="H47" s="154" t="s">
        <v>553</v>
      </c>
      <c r="I47" s="154"/>
      <c r="J47" s="154" t="s">
        <v>703</v>
      </c>
      <c r="K47" s="154" t="s">
        <v>736</v>
      </c>
      <c r="L47" s="136" t="s">
        <v>799</v>
      </c>
      <c r="M47" s="136"/>
      <c r="N47" s="136"/>
      <c r="O47" s="136" t="s">
        <v>555</v>
      </c>
      <c r="P47" s="136"/>
      <c r="Q47" s="136"/>
      <c r="R47" s="136"/>
      <c r="S47" s="136"/>
      <c r="T47" s="136"/>
      <c r="U47" s="136">
        <v>0.85799999999999998</v>
      </c>
      <c r="V47" s="136"/>
      <c r="W47" s="136"/>
      <c r="X47" s="137">
        <f t="shared" si="2"/>
        <v>0.85799999999999998</v>
      </c>
      <c r="Y47" s="136">
        <v>0.23</v>
      </c>
      <c r="Z47" s="138" t="str">
        <f t="shared" si="3"/>
        <v>S</v>
      </c>
      <c r="AA47" s="154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</row>
    <row r="48" spans="1:39" s="139" customFormat="1">
      <c r="A48" s="137"/>
      <c r="B48" s="136" t="s">
        <v>544</v>
      </c>
      <c r="C48" s="136">
        <v>2005</v>
      </c>
      <c r="D48" s="141" t="s">
        <v>545</v>
      </c>
      <c r="E48" s="142" t="s">
        <v>17</v>
      </c>
      <c r="F48" s="137"/>
      <c r="G48" s="137"/>
      <c r="H48" s="136" t="s">
        <v>18</v>
      </c>
      <c r="I48" s="136"/>
      <c r="J48" s="136" t="s">
        <v>703</v>
      </c>
      <c r="K48" s="136" t="s">
        <v>615</v>
      </c>
      <c r="L48" s="136" t="s">
        <v>546</v>
      </c>
      <c r="M48" s="137"/>
      <c r="N48" s="137"/>
      <c r="O48" s="137"/>
      <c r="P48" s="137"/>
      <c r="Q48" s="137"/>
      <c r="R48" s="137"/>
      <c r="S48" s="137"/>
      <c r="T48" s="137"/>
      <c r="U48" s="146">
        <v>0.85</v>
      </c>
      <c r="V48" s="137"/>
      <c r="W48" s="137"/>
      <c r="X48" s="137">
        <f t="shared" si="2"/>
        <v>0.85</v>
      </c>
      <c r="Y48" s="147">
        <v>0.49819999999999998</v>
      </c>
      <c r="Z48" s="138" t="str">
        <f t="shared" si="3"/>
        <v>S</v>
      </c>
      <c r="AA48" s="137" t="s">
        <v>548</v>
      </c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</row>
    <row r="49" spans="1:39" s="139" customFormat="1">
      <c r="A49" s="140">
        <v>173</v>
      </c>
      <c r="B49" s="136" t="s">
        <v>302</v>
      </c>
      <c r="C49" s="136">
        <v>2011</v>
      </c>
      <c r="D49" s="141" t="s">
        <v>352</v>
      </c>
      <c r="E49" s="142" t="s">
        <v>394</v>
      </c>
      <c r="F49" s="143" t="s">
        <v>400</v>
      </c>
      <c r="G49" s="136" t="s">
        <v>359</v>
      </c>
      <c r="H49" s="136" t="s">
        <v>20</v>
      </c>
      <c r="I49" s="136"/>
      <c r="J49" s="136" t="s">
        <v>703</v>
      </c>
      <c r="K49" s="136" t="s">
        <v>730</v>
      </c>
      <c r="L49" s="136" t="s">
        <v>403</v>
      </c>
      <c r="M49" s="144"/>
      <c r="N49" s="144"/>
      <c r="O49" s="136" t="s">
        <v>405</v>
      </c>
      <c r="P49" s="145"/>
      <c r="Q49" s="145"/>
      <c r="R49" s="136"/>
      <c r="S49" s="136"/>
      <c r="T49" s="136"/>
      <c r="U49" s="146">
        <v>0.84899999999999998</v>
      </c>
      <c r="V49" s="136"/>
      <c r="W49" s="136"/>
      <c r="X49" s="137">
        <f t="shared" si="2"/>
        <v>0.84899999999999998</v>
      </c>
      <c r="Y49" s="136">
        <v>1.18</v>
      </c>
      <c r="Z49" s="138" t="str">
        <f t="shared" si="3"/>
        <v>S</v>
      </c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</row>
    <row r="50" spans="1:39" s="139" customFormat="1">
      <c r="A50" s="140">
        <v>173</v>
      </c>
      <c r="B50" s="136" t="s">
        <v>302</v>
      </c>
      <c r="C50" s="136">
        <v>2011</v>
      </c>
      <c r="D50" s="141" t="s">
        <v>352</v>
      </c>
      <c r="E50" s="142" t="s">
        <v>394</v>
      </c>
      <c r="F50" s="143" t="s">
        <v>395</v>
      </c>
      <c r="G50" s="136" t="s">
        <v>258</v>
      </c>
      <c r="H50" s="136" t="s">
        <v>20</v>
      </c>
      <c r="I50" s="136"/>
      <c r="J50" s="136" t="s">
        <v>703</v>
      </c>
      <c r="K50" s="136" t="s">
        <v>729</v>
      </c>
      <c r="L50" s="136" t="s">
        <v>396</v>
      </c>
      <c r="M50" s="144"/>
      <c r="N50" s="144"/>
      <c r="O50" s="136" t="s">
        <v>398</v>
      </c>
      <c r="P50" s="145"/>
      <c r="Q50" s="145"/>
      <c r="R50" s="136"/>
      <c r="S50" s="136"/>
      <c r="T50" s="136"/>
      <c r="U50" s="146">
        <v>0.82299999999999995</v>
      </c>
      <c r="V50" s="136"/>
      <c r="W50" s="136"/>
      <c r="X50" s="137">
        <f t="shared" si="2"/>
        <v>0.82299999999999995</v>
      </c>
      <c r="Y50" s="136">
        <v>0.57999999999999996</v>
      </c>
      <c r="Z50" s="138" t="str">
        <f t="shared" si="3"/>
        <v>S</v>
      </c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</row>
    <row r="51" spans="1:39" s="139" customFormat="1">
      <c r="A51" s="137"/>
      <c r="B51" s="136" t="s">
        <v>540</v>
      </c>
      <c r="C51" s="136">
        <v>2013</v>
      </c>
      <c r="D51" s="141" t="s">
        <v>541</v>
      </c>
      <c r="E51" s="142" t="s">
        <v>17</v>
      </c>
      <c r="F51" s="143"/>
      <c r="G51" s="136"/>
      <c r="H51" s="136" t="s">
        <v>20</v>
      </c>
      <c r="I51" s="136"/>
      <c r="J51" s="136" t="s">
        <v>703</v>
      </c>
      <c r="K51" s="136" t="s">
        <v>645</v>
      </c>
      <c r="L51" s="136" t="s">
        <v>543</v>
      </c>
      <c r="M51" s="137"/>
      <c r="N51" s="137"/>
      <c r="O51" s="137"/>
      <c r="P51" s="137"/>
      <c r="Q51" s="137"/>
      <c r="R51" s="137"/>
      <c r="S51" s="137"/>
      <c r="T51" s="137"/>
      <c r="U51" s="146">
        <v>0.82</v>
      </c>
      <c r="V51" s="137"/>
      <c r="W51" s="137"/>
      <c r="X51" s="137">
        <f t="shared" si="2"/>
        <v>0.82</v>
      </c>
      <c r="Y51" s="147">
        <v>5.3</v>
      </c>
      <c r="Z51" s="138" t="str">
        <f t="shared" si="3"/>
        <v>S</v>
      </c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</row>
    <row r="52" spans="1:39" s="139" customFormat="1">
      <c r="A52" s="140">
        <v>173</v>
      </c>
      <c r="B52" s="136" t="s">
        <v>302</v>
      </c>
      <c r="C52" s="136">
        <v>2011</v>
      </c>
      <c r="D52" s="141" t="s">
        <v>352</v>
      </c>
      <c r="E52" s="142" t="s">
        <v>394</v>
      </c>
      <c r="F52" s="143" t="s">
        <v>395</v>
      </c>
      <c r="G52" s="136" t="s">
        <v>258</v>
      </c>
      <c r="H52" s="136" t="s">
        <v>20</v>
      </c>
      <c r="I52" s="136"/>
      <c r="J52" s="136" t="s">
        <v>703</v>
      </c>
      <c r="K52" s="136" t="s">
        <v>729</v>
      </c>
      <c r="L52" s="136" t="s">
        <v>396</v>
      </c>
      <c r="M52" s="144"/>
      <c r="N52" s="144"/>
      <c r="O52" s="136" t="s">
        <v>399</v>
      </c>
      <c r="P52" s="145"/>
      <c r="Q52" s="145"/>
      <c r="R52" s="136"/>
      <c r="S52" s="136"/>
      <c r="T52" s="136"/>
      <c r="U52" s="146">
        <v>0.8</v>
      </c>
      <c r="V52" s="136"/>
      <c r="W52" s="136"/>
      <c r="X52" s="137">
        <f t="shared" si="2"/>
        <v>0.8</v>
      </c>
      <c r="Y52" s="136">
        <v>1.45</v>
      </c>
      <c r="Z52" s="138" t="str">
        <f t="shared" si="3"/>
        <v>S</v>
      </c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</row>
    <row r="53" spans="1:39" s="139" customFormat="1">
      <c r="A53" s="140">
        <v>173</v>
      </c>
      <c r="B53" s="136" t="s">
        <v>302</v>
      </c>
      <c r="C53" s="136">
        <v>2011</v>
      </c>
      <c r="D53" s="141" t="s">
        <v>352</v>
      </c>
      <c r="E53" s="142" t="s">
        <v>394</v>
      </c>
      <c r="F53" s="143" t="s">
        <v>395</v>
      </c>
      <c r="G53" s="136" t="s">
        <v>258</v>
      </c>
      <c r="H53" s="136" t="s">
        <v>20</v>
      </c>
      <c r="I53" s="136"/>
      <c r="J53" s="136" t="s">
        <v>703</v>
      </c>
      <c r="K53" s="136" t="s">
        <v>729</v>
      </c>
      <c r="L53" s="136" t="s">
        <v>396</v>
      </c>
      <c r="M53" s="144"/>
      <c r="N53" s="144"/>
      <c r="O53" s="136" t="s">
        <v>397</v>
      </c>
      <c r="P53" s="145"/>
      <c r="Q53" s="145"/>
      <c r="R53" s="136"/>
      <c r="S53" s="136"/>
      <c r="T53" s="136"/>
      <c r="U53" s="146">
        <v>0.79600000000000004</v>
      </c>
      <c r="V53" s="136"/>
      <c r="W53" s="136"/>
      <c r="X53" s="137">
        <f t="shared" si="2"/>
        <v>0.79600000000000004</v>
      </c>
      <c r="Y53" s="136">
        <v>0.23</v>
      </c>
      <c r="Z53" s="138" t="str">
        <f t="shared" si="3"/>
        <v>S</v>
      </c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</row>
    <row r="54" spans="1:39" s="139" customFormat="1">
      <c r="A54" s="140">
        <v>173</v>
      </c>
      <c r="B54" s="136" t="s">
        <v>302</v>
      </c>
      <c r="C54" s="136">
        <v>2011</v>
      </c>
      <c r="D54" s="141" t="s">
        <v>352</v>
      </c>
      <c r="E54" s="142" t="s">
        <v>394</v>
      </c>
      <c r="F54" s="143" t="s">
        <v>400</v>
      </c>
      <c r="G54" s="136" t="s">
        <v>359</v>
      </c>
      <c r="H54" s="136" t="s">
        <v>20</v>
      </c>
      <c r="I54" s="136"/>
      <c r="J54" s="136" t="s">
        <v>703</v>
      </c>
      <c r="K54" s="136" t="s">
        <v>730</v>
      </c>
      <c r="L54" s="136" t="s">
        <v>403</v>
      </c>
      <c r="M54" s="144"/>
      <c r="N54" s="144"/>
      <c r="O54" s="136" t="s">
        <v>406</v>
      </c>
      <c r="P54" s="145"/>
      <c r="Q54" s="145"/>
      <c r="R54" s="136"/>
      <c r="S54" s="136"/>
      <c r="T54" s="136"/>
      <c r="U54" s="146">
        <v>0.79400000000000004</v>
      </c>
      <c r="V54" s="136"/>
      <c r="W54" s="136"/>
      <c r="X54" s="137">
        <f t="shared" si="2"/>
        <v>0.79400000000000004</v>
      </c>
      <c r="Y54" s="136">
        <v>0.11</v>
      </c>
      <c r="Z54" s="138" t="str">
        <f t="shared" si="3"/>
        <v>S</v>
      </c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</row>
    <row r="55" spans="1:39" s="139" customFormat="1">
      <c r="A55" s="136"/>
      <c r="B55" s="154" t="s">
        <v>552</v>
      </c>
      <c r="C55" s="154">
        <v>2013</v>
      </c>
      <c r="D55" s="154"/>
      <c r="E55" s="154" t="s">
        <v>394</v>
      </c>
      <c r="F55" s="154"/>
      <c r="G55" s="154"/>
      <c r="H55" s="154" t="s">
        <v>553</v>
      </c>
      <c r="I55" s="154"/>
      <c r="J55" s="154" t="s">
        <v>703</v>
      </c>
      <c r="K55" s="154" t="s">
        <v>736</v>
      </c>
      <c r="L55" s="136" t="s">
        <v>800</v>
      </c>
      <c r="M55" s="136"/>
      <c r="N55" s="136"/>
      <c r="O55" s="136" t="s">
        <v>556</v>
      </c>
      <c r="P55" s="136"/>
      <c r="Q55" s="136"/>
      <c r="R55" s="136"/>
      <c r="S55" s="136"/>
      <c r="T55" s="136"/>
      <c r="U55" s="136">
        <v>0.78900000000000003</v>
      </c>
      <c r="V55" s="136"/>
      <c r="W55" s="136"/>
      <c r="X55" s="137">
        <f t="shared" si="2"/>
        <v>0.78900000000000003</v>
      </c>
      <c r="Y55" s="136">
        <v>0.33</v>
      </c>
      <c r="Z55" s="138" t="str">
        <f t="shared" si="3"/>
        <v>S</v>
      </c>
      <c r="AA55" s="154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</row>
    <row r="56" spans="1:39" s="139" customFormat="1">
      <c r="A56" s="140"/>
      <c r="B56" s="136" t="s">
        <v>540</v>
      </c>
      <c r="C56" s="136">
        <v>2013</v>
      </c>
      <c r="D56" s="141" t="s">
        <v>541</v>
      </c>
      <c r="E56" s="142" t="s">
        <v>17</v>
      </c>
      <c r="F56" s="143"/>
      <c r="G56" s="136"/>
      <c r="H56" s="136" t="s">
        <v>20</v>
      </c>
      <c r="I56" s="136"/>
      <c r="J56" s="136" t="s">
        <v>703</v>
      </c>
      <c r="K56" s="136" t="s">
        <v>645</v>
      </c>
      <c r="L56" s="136" t="s">
        <v>543</v>
      </c>
      <c r="M56" s="144"/>
      <c r="N56" s="144"/>
      <c r="O56" s="136"/>
      <c r="P56" s="145"/>
      <c r="Q56" s="145"/>
      <c r="R56" s="136"/>
      <c r="S56" s="136"/>
      <c r="T56" s="136"/>
      <c r="U56" s="146">
        <v>0.76</v>
      </c>
      <c r="V56" s="136"/>
      <c r="W56" s="136"/>
      <c r="X56" s="137">
        <f t="shared" si="2"/>
        <v>0.76</v>
      </c>
      <c r="Y56" s="147">
        <v>2.12</v>
      </c>
      <c r="Z56" s="138" t="str">
        <f t="shared" si="3"/>
        <v>S</v>
      </c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</row>
    <row r="57" spans="1:39">
      <c r="A57" s="110">
        <v>174</v>
      </c>
      <c r="B57" s="114" t="s">
        <v>407</v>
      </c>
      <c r="C57" s="114">
        <v>2009</v>
      </c>
      <c r="D57" s="122" t="s">
        <v>408</v>
      </c>
      <c r="E57" s="113" t="s">
        <v>16</v>
      </c>
      <c r="F57" s="123" t="s">
        <v>410</v>
      </c>
      <c r="G57" s="114" t="s">
        <v>417</v>
      </c>
      <c r="H57" s="114" t="s">
        <v>417</v>
      </c>
      <c r="I57" s="114"/>
      <c r="J57" s="114" t="s">
        <v>593</v>
      </c>
      <c r="K57" s="114" t="s">
        <v>633</v>
      </c>
      <c r="L57" s="114" t="s">
        <v>430</v>
      </c>
      <c r="M57" s="121"/>
      <c r="N57" s="121"/>
      <c r="O57" s="114" t="s">
        <v>430</v>
      </c>
      <c r="P57" s="120"/>
      <c r="Q57" s="120"/>
      <c r="R57" s="114"/>
      <c r="S57" s="114"/>
      <c r="T57" s="114"/>
      <c r="U57" s="125">
        <v>0.94699999999999995</v>
      </c>
      <c r="V57" s="114"/>
      <c r="W57" s="114"/>
      <c r="X57" s="134">
        <f t="shared" si="2"/>
        <v>0.94699999999999995</v>
      </c>
      <c r="Y57" s="126">
        <v>1.3</v>
      </c>
      <c r="Z57" s="135" t="str">
        <f t="shared" si="3"/>
        <v>F</v>
      </c>
      <c r="AA57" s="167" t="str">
        <f>+J57</f>
        <v>SE shrub</v>
      </c>
      <c r="AB57" s="160" t="s">
        <v>814</v>
      </c>
      <c r="AC57" s="160" t="s">
        <v>815</v>
      </c>
      <c r="AD57" s="160" t="s">
        <v>816</v>
      </c>
      <c r="AE57" s="160" t="s">
        <v>817</v>
      </c>
      <c r="AF57" s="160" t="s">
        <v>818</v>
      </c>
      <c r="AG57" s="160" t="s">
        <v>819</v>
      </c>
    </row>
    <row r="58" spans="1:39">
      <c r="A58" s="110">
        <v>174</v>
      </c>
      <c r="B58" s="114" t="s">
        <v>407</v>
      </c>
      <c r="C58" s="114">
        <v>2009</v>
      </c>
      <c r="D58" s="122" t="s">
        <v>408</v>
      </c>
      <c r="E58" s="113" t="s">
        <v>16</v>
      </c>
      <c r="F58" s="123" t="s">
        <v>410</v>
      </c>
      <c r="G58" s="114" t="s">
        <v>411</v>
      </c>
      <c r="H58" s="114" t="s">
        <v>18</v>
      </c>
      <c r="I58" s="114"/>
      <c r="J58" s="114" t="s">
        <v>593</v>
      </c>
      <c r="K58" s="114" t="s">
        <v>733</v>
      </c>
      <c r="L58" s="114" t="s">
        <v>412</v>
      </c>
      <c r="M58" s="121"/>
      <c r="N58" s="121"/>
      <c r="O58" s="114" t="s">
        <v>412</v>
      </c>
      <c r="P58" s="120"/>
      <c r="Q58" s="120"/>
      <c r="R58" s="114"/>
      <c r="S58" s="114"/>
      <c r="T58" s="114"/>
      <c r="U58" s="125">
        <v>0.85699999999999998</v>
      </c>
      <c r="V58" s="114"/>
      <c r="W58" s="114"/>
      <c r="X58" s="134">
        <f t="shared" si="2"/>
        <v>0.85699999999999998</v>
      </c>
      <c r="Y58" s="126">
        <v>6.6</v>
      </c>
      <c r="Z58" s="135" t="str">
        <f t="shared" si="3"/>
        <v>S</v>
      </c>
      <c r="AA58" s="160" t="s">
        <v>813</v>
      </c>
      <c r="AB58" s="171">
        <f>AVERAGE($Y$57:$Y$61)</f>
        <v>2.2143999999999999</v>
      </c>
      <c r="AC58" s="171">
        <f>MEDIAN($Y$57:$Y$61)</f>
        <v>1.3</v>
      </c>
      <c r="AD58" s="171">
        <f>MAX($Y$57:$Y$61)</f>
        <v>6.6</v>
      </c>
      <c r="AE58" s="171">
        <f>MIN($Y$57:$Y$61)</f>
        <v>0.47199999999999998</v>
      </c>
      <c r="AF58" s="171">
        <f>STDEV($Y$57:$Y$61)</f>
        <v>2.5002473477638167</v>
      </c>
      <c r="AG58" s="171">
        <f>COUNT($Y$57:$Y$61)</f>
        <v>5</v>
      </c>
    </row>
    <row r="59" spans="1:39">
      <c r="A59" s="110">
        <v>174</v>
      </c>
      <c r="B59" s="114" t="s">
        <v>407</v>
      </c>
      <c r="C59" s="114">
        <v>2009</v>
      </c>
      <c r="D59" s="122" t="s">
        <v>408</v>
      </c>
      <c r="E59" s="113" t="s">
        <v>16</v>
      </c>
      <c r="F59" s="123" t="s">
        <v>410</v>
      </c>
      <c r="G59" s="114" t="s">
        <v>22</v>
      </c>
      <c r="H59" s="114" t="s">
        <v>22</v>
      </c>
      <c r="I59" s="114"/>
      <c r="J59" s="114" t="s">
        <v>593</v>
      </c>
      <c r="K59" s="114" t="s">
        <v>635</v>
      </c>
      <c r="L59" s="114" t="s">
        <v>445</v>
      </c>
      <c r="M59" s="121"/>
      <c r="N59" s="121"/>
      <c r="O59" s="114" t="s">
        <v>445</v>
      </c>
      <c r="P59" s="120"/>
      <c r="Q59" s="120"/>
      <c r="R59" s="114"/>
      <c r="S59" s="114"/>
      <c r="T59" s="114"/>
      <c r="U59" s="125">
        <v>0.93300000000000005</v>
      </c>
      <c r="V59" s="114"/>
      <c r="W59" s="114"/>
      <c r="X59" s="134">
        <f t="shared" si="2"/>
        <v>0.93300000000000005</v>
      </c>
      <c r="Y59" s="126">
        <v>0.9</v>
      </c>
      <c r="Z59" s="135" t="str">
        <f t="shared" si="3"/>
        <v>F</v>
      </c>
    </row>
    <row r="60" spans="1:39">
      <c r="A60" s="110">
        <v>172</v>
      </c>
      <c r="B60" s="114" t="s">
        <v>302</v>
      </c>
      <c r="C60" s="114">
        <v>2010</v>
      </c>
      <c r="D60" s="114" t="s">
        <v>303</v>
      </c>
      <c r="E60" s="113" t="s">
        <v>305</v>
      </c>
      <c r="F60" s="123">
        <v>40230</v>
      </c>
      <c r="G60" s="114" t="s">
        <v>258</v>
      </c>
      <c r="H60" s="114" t="s">
        <v>20</v>
      </c>
      <c r="I60" s="114"/>
      <c r="J60" s="114" t="s">
        <v>593</v>
      </c>
      <c r="K60" s="114" t="s">
        <v>609</v>
      </c>
      <c r="L60" s="114" t="s">
        <v>336</v>
      </c>
      <c r="M60" s="121" t="s">
        <v>337</v>
      </c>
      <c r="N60" s="121" t="s">
        <v>338</v>
      </c>
      <c r="O60" s="114"/>
      <c r="P60" s="120"/>
      <c r="Q60" s="120"/>
      <c r="R60" s="114"/>
      <c r="S60" s="114"/>
      <c r="T60" s="114"/>
      <c r="U60" s="120">
        <v>0.95299999999999996</v>
      </c>
      <c r="V60" s="125"/>
      <c r="W60" s="125"/>
      <c r="X60" s="134">
        <f t="shared" si="2"/>
        <v>0.95299999999999996</v>
      </c>
      <c r="Y60" s="125">
        <v>0.47199999999999998</v>
      </c>
      <c r="Z60" s="135" t="str">
        <f t="shared" si="3"/>
        <v>F</v>
      </c>
    </row>
    <row r="61" spans="1:39">
      <c r="A61" s="110">
        <v>174</v>
      </c>
      <c r="B61" s="114" t="s">
        <v>407</v>
      </c>
      <c r="C61" s="114">
        <v>2009</v>
      </c>
      <c r="D61" s="122" t="s">
        <v>408</v>
      </c>
      <c r="E61" s="113" t="s">
        <v>16</v>
      </c>
      <c r="F61" s="123" t="s">
        <v>410</v>
      </c>
      <c r="G61" s="114" t="s">
        <v>22</v>
      </c>
      <c r="H61" s="114" t="s">
        <v>22</v>
      </c>
      <c r="I61" s="114"/>
      <c r="J61" s="114" t="s">
        <v>593</v>
      </c>
      <c r="K61" s="114" t="s">
        <v>636</v>
      </c>
      <c r="L61" s="114" t="s">
        <v>441</v>
      </c>
      <c r="M61" s="121"/>
      <c r="N61" s="121"/>
      <c r="O61" s="114" t="s">
        <v>441</v>
      </c>
      <c r="P61" s="120"/>
      <c r="Q61" s="120"/>
      <c r="R61" s="114"/>
      <c r="S61" s="114"/>
      <c r="T61" s="114"/>
      <c r="U61" s="125">
        <v>0.91500000000000004</v>
      </c>
      <c r="V61" s="114"/>
      <c r="W61" s="114"/>
      <c r="X61" s="134">
        <f t="shared" si="2"/>
        <v>0.91500000000000004</v>
      </c>
      <c r="Y61" s="126">
        <v>1.8</v>
      </c>
      <c r="Z61" s="135" t="str">
        <f t="shared" si="3"/>
        <v>F</v>
      </c>
    </row>
    <row r="62" spans="1:39" s="139" customFormat="1">
      <c r="A62" s="140">
        <v>174</v>
      </c>
      <c r="B62" s="136" t="s">
        <v>407</v>
      </c>
      <c r="C62" s="136">
        <v>2009</v>
      </c>
      <c r="D62" s="141" t="s">
        <v>408</v>
      </c>
      <c r="E62" s="142" t="s">
        <v>16</v>
      </c>
      <c r="F62" s="143" t="s">
        <v>410</v>
      </c>
      <c r="G62" s="136" t="s">
        <v>414</v>
      </c>
      <c r="H62" s="136" t="s">
        <v>49</v>
      </c>
      <c r="I62" s="136"/>
      <c r="J62" s="136" t="s">
        <v>706</v>
      </c>
      <c r="K62" s="136" t="s">
        <v>738</v>
      </c>
      <c r="L62" s="136" t="s">
        <v>254</v>
      </c>
      <c r="M62" s="144"/>
      <c r="N62" s="144"/>
      <c r="O62" s="136" t="s">
        <v>254</v>
      </c>
      <c r="P62" s="145"/>
      <c r="Q62" s="145"/>
      <c r="R62" s="136"/>
      <c r="S62" s="136"/>
      <c r="T62" s="136"/>
      <c r="U62" s="146">
        <v>0.90600000000000003</v>
      </c>
      <c r="V62" s="136"/>
      <c r="W62" s="136"/>
      <c r="X62" s="137">
        <f t="shared" si="2"/>
        <v>0.90600000000000003</v>
      </c>
      <c r="Y62" s="147">
        <v>1.6</v>
      </c>
      <c r="Z62" s="138" t="str">
        <f t="shared" si="3"/>
        <v>F</v>
      </c>
      <c r="AA62" s="166" t="str">
        <f>+J62</f>
        <v>W conifer</v>
      </c>
      <c r="AB62" s="157" t="s">
        <v>814</v>
      </c>
      <c r="AC62" s="157" t="s">
        <v>815</v>
      </c>
      <c r="AD62" s="157" t="s">
        <v>816</v>
      </c>
      <c r="AE62" s="157" t="s">
        <v>817</v>
      </c>
      <c r="AF62" s="157" t="s">
        <v>818</v>
      </c>
      <c r="AG62" s="157" t="s">
        <v>819</v>
      </c>
      <c r="AH62" s="137"/>
      <c r="AI62" s="137"/>
      <c r="AJ62" s="137"/>
      <c r="AK62" s="137"/>
      <c r="AL62" s="137"/>
      <c r="AM62" s="137"/>
    </row>
    <row r="63" spans="1:39" s="139" customFormat="1">
      <c r="A63" s="140">
        <v>118</v>
      </c>
      <c r="B63" s="168" t="s">
        <v>199</v>
      </c>
      <c r="C63" s="136">
        <v>1999</v>
      </c>
      <c r="D63" s="168" t="s">
        <v>200</v>
      </c>
      <c r="E63" s="142" t="s">
        <v>16</v>
      </c>
      <c r="F63" s="136">
        <v>1999</v>
      </c>
      <c r="G63" s="136" t="s">
        <v>125</v>
      </c>
      <c r="H63" s="136" t="s">
        <v>49</v>
      </c>
      <c r="I63" s="136"/>
      <c r="J63" s="136" t="s">
        <v>706</v>
      </c>
      <c r="K63" s="136" t="s">
        <v>657</v>
      </c>
      <c r="L63" s="136" t="s">
        <v>203</v>
      </c>
      <c r="M63" s="136"/>
      <c r="N63" s="136"/>
      <c r="O63" s="136">
        <v>3</v>
      </c>
      <c r="P63" s="136"/>
      <c r="Q63" s="136"/>
      <c r="R63" s="136"/>
      <c r="S63" s="136"/>
      <c r="T63" s="136"/>
      <c r="U63" s="136">
        <v>0.95</v>
      </c>
      <c r="V63" s="136"/>
      <c r="W63" s="136"/>
      <c r="X63" s="137">
        <f t="shared" si="2"/>
        <v>0.95</v>
      </c>
      <c r="Y63" s="136">
        <v>0.28199999999999997</v>
      </c>
      <c r="Z63" s="138" t="str">
        <f t="shared" si="3"/>
        <v>F</v>
      </c>
      <c r="AA63" s="157" t="s">
        <v>813</v>
      </c>
      <c r="AB63" s="164">
        <f>AVERAGE($Y$62:$Y$76)</f>
        <v>1.0677999999999999</v>
      </c>
      <c r="AC63" s="164">
        <f>MEDIAN($Y$62:$Y$76)</f>
        <v>1.23</v>
      </c>
      <c r="AD63" s="164">
        <f>MAX($Y$62:$Y$76)</f>
        <v>2.1</v>
      </c>
      <c r="AE63" s="164">
        <f>MIN($Y$62:$Y$76)</f>
        <v>0.19500000000000001</v>
      </c>
      <c r="AF63" s="164">
        <f>STDEV($Y$62:$Y$76)</f>
        <v>0.72482847231997882</v>
      </c>
      <c r="AG63" s="164">
        <f>COUNT($Y$62:$Y$76)</f>
        <v>15</v>
      </c>
      <c r="AH63" s="137"/>
      <c r="AI63" s="137"/>
      <c r="AJ63" s="137"/>
      <c r="AK63" s="137"/>
      <c r="AL63" s="137"/>
      <c r="AM63" s="137"/>
    </row>
    <row r="64" spans="1:39" s="139" customFormat="1">
      <c r="A64" s="140">
        <v>174</v>
      </c>
      <c r="B64" s="136" t="s">
        <v>407</v>
      </c>
      <c r="C64" s="136">
        <v>2009</v>
      </c>
      <c r="D64" s="141" t="s">
        <v>408</v>
      </c>
      <c r="E64" s="142" t="s">
        <v>16</v>
      </c>
      <c r="F64" s="143" t="s">
        <v>410</v>
      </c>
      <c r="G64" s="136" t="s">
        <v>414</v>
      </c>
      <c r="H64" s="136" t="s">
        <v>49</v>
      </c>
      <c r="I64" s="136"/>
      <c r="J64" s="136" t="s">
        <v>706</v>
      </c>
      <c r="K64" s="136" t="s">
        <v>739</v>
      </c>
      <c r="L64" s="136" t="s">
        <v>434</v>
      </c>
      <c r="M64" s="144"/>
      <c r="N64" s="144"/>
      <c r="O64" s="136" t="s">
        <v>434</v>
      </c>
      <c r="P64" s="145"/>
      <c r="Q64" s="145"/>
      <c r="R64" s="136"/>
      <c r="S64" s="136"/>
      <c r="T64" s="136"/>
      <c r="U64" s="146">
        <v>0.92</v>
      </c>
      <c r="V64" s="136"/>
      <c r="W64" s="136"/>
      <c r="X64" s="137">
        <f t="shared" si="2"/>
        <v>0.92</v>
      </c>
      <c r="Y64" s="147">
        <v>2.1</v>
      </c>
      <c r="Z64" s="138" t="str">
        <f t="shared" si="3"/>
        <v>F</v>
      </c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</row>
    <row r="65" spans="1:39" s="139" customFormat="1">
      <c r="A65" s="140">
        <v>63</v>
      </c>
      <c r="B65" s="145" t="s">
        <v>53</v>
      </c>
      <c r="C65" s="145">
        <v>1989</v>
      </c>
      <c r="D65" s="145" t="s">
        <v>54</v>
      </c>
      <c r="E65" s="142" t="s">
        <v>56</v>
      </c>
      <c r="F65" s="136" t="s">
        <v>63</v>
      </c>
      <c r="G65" s="136" t="s">
        <v>46</v>
      </c>
      <c r="H65" s="136" t="s">
        <v>29</v>
      </c>
      <c r="I65" s="136"/>
      <c r="J65" s="136" t="s">
        <v>706</v>
      </c>
      <c r="K65" s="136" t="s">
        <v>659</v>
      </c>
      <c r="L65" s="136" t="s">
        <v>64</v>
      </c>
      <c r="M65" s="136"/>
      <c r="N65" s="136"/>
      <c r="O65" s="136" t="s">
        <v>48</v>
      </c>
      <c r="P65" s="136"/>
      <c r="Q65" s="136"/>
      <c r="R65" s="136"/>
      <c r="S65" s="136"/>
      <c r="T65" s="136"/>
      <c r="U65" s="136"/>
      <c r="V65" s="136"/>
      <c r="W65" s="136"/>
      <c r="X65" s="137" t="str">
        <f t="shared" si="2"/>
        <v/>
      </c>
      <c r="Y65" s="136">
        <v>0.6</v>
      </c>
      <c r="Z65" s="138" t="str">
        <f t="shared" si="3"/>
        <v/>
      </c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</row>
    <row r="66" spans="1:39" s="139" customFormat="1">
      <c r="A66" s="140">
        <v>63</v>
      </c>
      <c r="B66" s="145" t="s">
        <v>53</v>
      </c>
      <c r="C66" s="145">
        <v>1989</v>
      </c>
      <c r="D66" s="145" t="s">
        <v>54</v>
      </c>
      <c r="E66" s="142" t="s">
        <v>56</v>
      </c>
      <c r="F66" s="148">
        <v>32022</v>
      </c>
      <c r="G66" s="136" t="s">
        <v>60</v>
      </c>
      <c r="H66" s="136" t="s">
        <v>29</v>
      </c>
      <c r="I66" s="136"/>
      <c r="J66" s="136" t="s">
        <v>706</v>
      </c>
      <c r="K66" s="136" t="s">
        <v>659</v>
      </c>
      <c r="L66" s="136" t="s">
        <v>61</v>
      </c>
      <c r="M66" s="136"/>
      <c r="N66" s="136"/>
      <c r="O66" s="136" t="s">
        <v>62</v>
      </c>
      <c r="P66" s="136"/>
      <c r="Q66" s="136"/>
      <c r="R66" s="136"/>
      <c r="S66" s="136"/>
      <c r="T66" s="136"/>
      <c r="U66" s="136"/>
      <c r="V66" s="136"/>
      <c r="W66" s="136"/>
      <c r="X66" s="137" t="str">
        <f t="shared" ref="X66:X96" si="4">IF(R66&lt;&gt;0,IF(R66&gt;1,R66/100,R66),IF(U66&lt;&gt;0,IF(U66&gt;1,U66/100,U66),""))</f>
        <v/>
      </c>
      <c r="Y66" s="136">
        <v>2</v>
      </c>
      <c r="Z66" s="138" t="str">
        <f t="shared" ref="Z66:Z96" si="5">IF(X66&lt;&gt;"",IF(X66&lt;0.9,"S","F"),"")</f>
        <v/>
      </c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</row>
    <row r="67" spans="1:39" s="139" customFormat="1">
      <c r="A67" s="140">
        <v>174</v>
      </c>
      <c r="B67" s="136" t="s">
        <v>407</v>
      </c>
      <c r="C67" s="136">
        <v>2009</v>
      </c>
      <c r="D67" s="141" t="s">
        <v>408</v>
      </c>
      <c r="E67" s="142" t="s">
        <v>16</v>
      </c>
      <c r="F67" s="143" t="s">
        <v>410</v>
      </c>
      <c r="G67" s="136" t="s">
        <v>414</v>
      </c>
      <c r="H67" s="136" t="s">
        <v>49</v>
      </c>
      <c r="I67" s="136"/>
      <c r="J67" s="136" t="s">
        <v>706</v>
      </c>
      <c r="K67" s="136" t="s">
        <v>659</v>
      </c>
      <c r="L67" s="136" t="s">
        <v>421</v>
      </c>
      <c r="M67" s="144"/>
      <c r="N67" s="144"/>
      <c r="O67" s="136" t="s">
        <v>422</v>
      </c>
      <c r="P67" s="145"/>
      <c r="Q67" s="145"/>
      <c r="R67" s="136"/>
      <c r="S67" s="136"/>
      <c r="T67" s="136"/>
      <c r="U67" s="146">
        <v>0.91500000000000004</v>
      </c>
      <c r="V67" s="136"/>
      <c r="W67" s="136"/>
      <c r="X67" s="137">
        <f t="shared" si="4"/>
        <v>0.91500000000000004</v>
      </c>
      <c r="Y67" s="147">
        <v>1.7</v>
      </c>
      <c r="Z67" s="138" t="str">
        <f t="shared" si="5"/>
        <v>F</v>
      </c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</row>
    <row r="68" spans="1:39" s="139" customFormat="1">
      <c r="A68" s="140">
        <v>174</v>
      </c>
      <c r="B68" s="136" t="s">
        <v>407</v>
      </c>
      <c r="C68" s="136">
        <v>2009</v>
      </c>
      <c r="D68" s="141" t="s">
        <v>408</v>
      </c>
      <c r="E68" s="142" t="s">
        <v>16</v>
      </c>
      <c r="F68" s="143" t="s">
        <v>410</v>
      </c>
      <c r="G68" s="136" t="s">
        <v>414</v>
      </c>
      <c r="H68" s="136" t="s">
        <v>49</v>
      </c>
      <c r="I68" s="136"/>
      <c r="J68" s="136" t="s">
        <v>706</v>
      </c>
      <c r="K68" s="136" t="s">
        <v>740</v>
      </c>
      <c r="L68" s="136" t="s">
        <v>424</v>
      </c>
      <c r="M68" s="144"/>
      <c r="N68" s="144"/>
      <c r="O68" s="136" t="s">
        <v>424</v>
      </c>
      <c r="P68" s="145"/>
      <c r="Q68" s="145"/>
      <c r="R68" s="136"/>
      <c r="S68" s="136"/>
      <c r="T68" s="136"/>
      <c r="U68" s="146">
        <v>0.92</v>
      </c>
      <c r="V68" s="136"/>
      <c r="W68" s="136"/>
      <c r="X68" s="137">
        <f t="shared" si="4"/>
        <v>0.92</v>
      </c>
      <c r="Y68" s="147">
        <v>1.6</v>
      </c>
      <c r="Z68" s="138" t="str">
        <f t="shared" si="5"/>
        <v>F</v>
      </c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</row>
    <row r="69" spans="1:39" s="139" customFormat="1">
      <c r="A69" s="140">
        <v>118</v>
      </c>
      <c r="B69" s="168" t="s">
        <v>199</v>
      </c>
      <c r="C69" s="136">
        <v>1999</v>
      </c>
      <c r="D69" s="168" t="s">
        <v>200</v>
      </c>
      <c r="E69" s="142" t="s">
        <v>16</v>
      </c>
      <c r="F69" s="136">
        <v>1999</v>
      </c>
      <c r="G69" s="136" t="s">
        <v>125</v>
      </c>
      <c r="H69" s="136" t="s">
        <v>49</v>
      </c>
      <c r="I69" s="136"/>
      <c r="J69" s="136" t="s">
        <v>706</v>
      </c>
      <c r="K69" s="136" t="s">
        <v>656</v>
      </c>
      <c r="L69" s="136" t="s">
        <v>204</v>
      </c>
      <c r="M69" s="136"/>
      <c r="N69" s="136"/>
      <c r="O69" s="136">
        <v>4</v>
      </c>
      <c r="P69" s="136"/>
      <c r="Q69" s="136"/>
      <c r="R69" s="136"/>
      <c r="S69" s="136"/>
      <c r="T69" s="136"/>
      <c r="U69" s="136">
        <v>0.98</v>
      </c>
      <c r="V69" s="136"/>
      <c r="W69" s="136"/>
      <c r="X69" s="137">
        <f t="shared" si="4"/>
        <v>0.98</v>
      </c>
      <c r="Y69" s="136">
        <v>0.19500000000000001</v>
      </c>
      <c r="Z69" s="138" t="str">
        <f t="shared" si="5"/>
        <v>F</v>
      </c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</row>
    <row r="70" spans="1:39" s="139" customFormat="1">
      <c r="A70" s="140">
        <v>118</v>
      </c>
      <c r="B70" s="168" t="s">
        <v>199</v>
      </c>
      <c r="C70" s="136">
        <v>1999</v>
      </c>
      <c r="D70" s="168" t="s">
        <v>200</v>
      </c>
      <c r="E70" s="142" t="s">
        <v>16</v>
      </c>
      <c r="F70" s="136">
        <v>1999</v>
      </c>
      <c r="G70" s="136" t="s">
        <v>125</v>
      </c>
      <c r="H70" s="136" t="s">
        <v>49</v>
      </c>
      <c r="I70" s="136"/>
      <c r="J70" s="136" t="s">
        <v>706</v>
      </c>
      <c r="K70" s="136" t="s">
        <v>656</v>
      </c>
      <c r="L70" s="136" t="s">
        <v>201</v>
      </c>
      <c r="M70" s="136"/>
      <c r="N70" s="136"/>
      <c r="O70" s="136">
        <v>1</v>
      </c>
      <c r="P70" s="136"/>
      <c r="Q70" s="136"/>
      <c r="R70" s="136"/>
      <c r="S70" s="136"/>
      <c r="T70" s="136"/>
      <c r="U70" s="136">
        <v>0.97</v>
      </c>
      <c r="V70" s="136"/>
      <c r="W70" s="136"/>
      <c r="X70" s="137">
        <f t="shared" si="4"/>
        <v>0.97</v>
      </c>
      <c r="Y70" s="136">
        <v>0.43</v>
      </c>
      <c r="Z70" s="138" t="str">
        <f t="shared" si="5"/>
        <v>F</v>
      </c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</row>
    <row r="71" spans="1:39" s="139" customFormat="1">
      <c r="A71" s="140">
        <v>172</v>
      </c>
      <c r="B71" s="136" t="s">
        <v>302</v>
      </c>
      <c r="C71" s="136">
        <v>2010</v>
      </c>
      <c r="D71" s="136" t="s">
        <v>303</v>
      </c>
      <c r="E71" s="142" t="s">
        <v>305</v>
      </c>
      <c r="F71" s="143">
        <v>40235</v>
      </c>
      <c r="G71" s="136" t="s">
        <v>347</v>
      </c>
      <c r="H71" s="136" t="s">
        <v>49</v>
      </c>
      <c r="I71" s="136"/>
      <c r="J71" s="136" t="s">
        <v>706</v>
      </c>
      <c r="K71" s="136" t="s">
        <v>656</v>
      </c>
      <c r="L71" s="136" t="s">
        <v>350</v>
      </c>
      <c r="M71" s="144" t="s">
        <v>351</v>
      </c>
      <c r="N71" s="144"/>
      <c r="O71" s="136"/>
      <c r="P71" s="145"/>
      <c r="Q71" s="145"/>
      <c r="R71" s="136"/>
      <c r="S71" s="136"/>
      <c r="T71" s="136"/>
      <c r="U71" s="146">
        <v>0.95899999999999996</v>
      </c>
      <c r="V71" s="136"/>
      <c r="W71" s="136"/>
      <c r="X71" s="137">
        <f t="shared" si="4"/>
        <v>0.95899999999999996</v>
      </c>
      <c r="Y71" s="136">
        <v>0.27600000000000002</v>
      </c>
      <c r="Z71" s="138" t="str">
        <f t="shared" si="5"/>
        <v>F</v>
      </c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</row>
    <row r="72" spans="1:39" s="139" customFormat="1">
      <c r="A72" s="140">
        <v>173</v>
      </c>
      <c r="B72" s="136" t="s">
        <v>302</v>
      </c>
      <c r="C72" s="136">
        <v>2011</v>
      </c>
      <c r="D72" s="141" t="s">
        <v>352</v>
      </c>
      <c r="E72" s="142" t="s">
        <v>354</v>
      </c>
      <c r="F72" s="143" t="s">
        <v>369</v>
      </c>
      <c r="G72" s="136" t="s">
        <v>370</v>
      </c>
      <c r="H72" s="136" t="s">
        <v>39</v>
      </c>
      <c r="I72" s="136"/>
      <c r="J72" s="136" t="s">
        <v>706</v>
      </c>
      <c r="K72" s="136" t="s">
        <v>728</v>
      </c>
      <c r="L72" s="136" t="s">
        <v>371</v>
      </c>
      <c r="M72" s="144"/>
      <c r="N72" s="144"/>
      <c r="O72" s="136" t="s">
        <v>372</v>
      </c>
      <c r="P72" s="145"/>
      <c r="Q72" s="145"/>
      <c r="R72" s="136"/>
      <c r="S72" s="136"/>
      <c r="T72" s="136"/>
      <c r="U72" s="146">
        <v>0.91300000000000003</v>
      </c>
      <c r="V72" s="136"/>
      <c r="W72" s="136"/>
      <c r="X72" s="137">
        <f t="shared" si="4"/>
        <v>0.91300000000000003</v>
      </c>
      <c r="Y72" s="136">
        <v>1.23</v>
      </c>
      <c r="Z72" s="138" t="str">
        <f t="shared" si="5"/>
        <v>F</v>
      </c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</row>
    <row r="73" spans="1:39" s="139" customFormat="1">
      <c r="A73" s="140">
        <v>172</v>
      </c>
      <c r="B73" s="136" t="s">
        <v>302</v>
      </c>
      <c r="C73" s="136">
        <v>2010</v>
      </c>
      <c r="D73" s="136" t="s">
        <v>303</v>
      </c>
      <c r="E73" s="142" t="s">
        <v>305</v>
      </c>
      <c r="F73" s="143">
        <v>40234</v>
      </c>
      <c r="G73" s="136" t="s">
        <v>347</v>
      </c>
      <c r="H73" s="136" t="s">
        <v>49</v>
      </c>
      <c r="I73" s="136"/>
      <c r="J73" s="136" t="s">
        <v>706</v>
      </c>
      <c r="K73" s="136" t="s">
        <v>726</v>
      </c>
      <c r="L73" s="136" t="s">
        <v>348</v>
      </c>
      <c r="M73" s="151" t="s">
        <v>349</v>
      </c>
      <c r="N73" s="151"/>
      <c r="O73" s="136"/>
      <c r="P73" s="145"/>
      <c r="Q73" s="145"/>
      <c r="R73" s="136"/>
      <c r="S73" s="136"/>
      <c r="T73" s="136"/>
      <c r="U73" s="146">
        <v>0.93400000000000005</v>
      </c>
      <c r="V73" s="145"/>
      <c r="W73" s="145"/>
      <c r="X73" s="137">
        <f t="shared" si="4"/>
        <v>0.93400000000000005</v>
      </c>
      <c r="Y73" s="145">
        <v>1.464</v>
      </c>
      <c r="Z73" s="138" t="str">
        <f t="shared" si="5"/>
        <v>F</v>
      </c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</row>
    <row r="74" spans="1:39" s="139" customFormat="1">
      <c r="A74" s="140">
        <v>173</v>
      </c>
      <c r="B74" s="136" t="s">
        <v>302</v>
      </c>
      <c r="C74" s="136">
        <v>2011</v>
      </c>
      <c r="D74" s="141" t="s">
        <v>352</v>
      </c>
      <c r="E74" s="142" t="s">
        <v>354</v>
      </c>
      <c r="F74" s="143" t="s">
        <v>369</v>
      </c>
      <c r="G74" s="136" t="s">
        <v>370</v>
      </c>
      <c r="H74" s="136" t="s">
        <v>39</v>
      </c>
      <c r="I74" s="136"/>
      <c r="J74" s="136" t="s">
        <v>706</v>
      </c>
      <c r="K74" s="136" t="s">
        <v>727</v>
      </c>
      <c r="L74" s="136" t="s">
        <v>373</v>
      </c>
      <c r="M74" s="144"/>
      <c r="N74" s="144"/>
      <c r="O74" s="136" t="s">
        <v>374</v>
      </c>
      <c r="P74" s="145"/>
      <c r="Q74" s="145"/>
      <c r="R74" s="136"/>
      <c r="S74" s="136"/>
      <c r="T74" s="136"/>
      <c r="U74" s="146">
        <v>0.88500000000000001</v>
      </c>
      <c r="V74" s="136"/>
      <c r="W74" s="136"/>
      <c r="X74" s="137">
        <f t="shared" si="4"/>
        <v>0.88500000000000001</v>
      </c>
      <c r="Y74" s="136">
        <v>1.84</v>
      </c>
      <c r="Z74" s="138" t="str">
        <f t="shared" si="5"/>
        <v>S</v>
      </c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</row>
    <row r="75" spans="1:39" s="139" customFormat="1">
      <c r="A75" s="140">
        <v>121</v>
      </c>
      <c r="B75" s="145" t="s">
        <v>223</v>
      </c>
      <c r="C75" s="145">
        <v>2003</v>
      </c>
      <c r="D75" s="145" t="s">
        <v>224</v>
      </c>
      <c r="E75" s="142" t="s">
        <v>225</v>
      </c>
      <c r="F75" s="136">
        <v>2002</v>
      </c>
      <c r="G75" s="136" t="s">
        <v>251</v>
      </c>
      <c r="H75" s="136" t="s">
        <v>49</v>
      </c>
      <c r="I75" s="136"/>
      <c r="J75" s="136" t="s">
        <v>706</v>
      </c>
      <c r="K75" s="136" t="s">
        <v>759</v>
      </c>
      <c r="L75" s="136" t="s">
        <v>252</v>
      </c>
      <c r="M75" s="136" t="s">
        <v>253</v>
      </c>
      <c r="N75" s="136" t="s">
        <v>254</v>
      </c>
      <c r="O75" s="136" t="s">
        <v>255</v>
      </c>
      <c r="P75" s="136"/>
      <c r="Q75" s="136"/>
      <c r="R75" s="136"/>
      <c r="S75" s="136"/>
      <c r="T75" s="136"/>
      <c r="U75" s="136"/>
      <c r="V75" s="136"/>
      <c r="W75" s="136"/>
      <c r="X75" s="137" t="str">
        <f t="shared" si="4"/>
        <v/>
      </c>
      <c r="Y75" s="136">
        <v>0.43</v>
      </c>
      <c r="Z75" s="138" t="str">
        <f t="shared" si="5"/>
        <v/>
      </c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</row>
    <row r="76" spans="1:39" s="139" customFormat="1">
      <c r="A76" s="140">
        <v>121</v>
      </c>
      <c r="B76" s="145" t="s">
        <v>223</v>
      </c>
      <c r="C76" s="145">
        <v>2003</v>
      </c>
      <c r="D76" s="145" t="s">
        <v>224</v>
      </c>
      <c r="E76" s="142" t="s">
        <v>225</v>
      </c>
      <c r="F76" s="136">
        <v>2002</v>
      </c>
      <c r="G76" s="136" t="s">
        <v>251</v>
      </c>
      <c r="H76" s="136" t="s">
        <v>49</v>
      </c>
      <c r="I76" s="136"/>
      <c r="J76" s="136" t="s">
        <v>706</v>
      </c>
      <c r="K76" s="136" t="s">
        <v>759</v>
      </c>
      <c r="L76" s="136" t="s">
        <v>252</v>
      </c>
      <c r="M76" s="136" t="s">
        <v>253</v>
      </c>
      <c r="N76" s="136" t="s">
        <v>254</v>
      </c>
      <c r="O76" s="136" t="s">
        <v>256</v>
      </c>
      <c r="P76" s="136"/>
      <c r="Q76" s="136"/>
      <c r="R76" s="136"/>
      <c r="S76" s="136"/>
      <c r="T76" s="136"/>
      <c r="U76" s="136"/>
      <c r="V76" s="136"/>
      <c r="W76" s="136"/>
      <c r="X76" s="137" t="str">
        <f t="shared" si="4"/>
        <v/>
      </c>
      <c r="Y76" s="136">
        <v>0.27</v>
      </c>
      <c r="Z76" s="138" t="str">
        <f t="shared" si="5"/>
        <v/>
      </c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</row>
    <row r="77" spans="1:39">
      <c r="A77" s="110">
        <v>121</v>
      </c>
      <c r="B77" s="115" t="s">
        <v>223</v>
      </c>
      <c r="C77" s="115">
        <v>2003</v>
      </c>
      <c r="D77" s="115" t="s">
        <v>224</v>
      </c>
      <c r="E77" s="113" t="s">
        <v>225</v>
      </c>
      <c r="F77" s="114">
        <v>2002</v>
      </c>
      <c r="G77" s="114" t="s">
        <v>234</v>
      </c>
      <c r="H77" s="114" t="s">
        <v>49</v>
      </c>
      <c r="I77" s="114"/>
      <c r="J77" s="114" t="s">
        <v>709</v>
      </c>
      <c r="K77" s="114" t="s">
        <v>716</v>
      </c>
      <c r="L77" s="114" t="s">
        <v>230</v>
      </c>
      <c r="M77" s="114" t="s">
        <v>434</v>
      </c>
      <c r="N77" s="114" t="s">
        <v>235</v>
      </c>
      <c r="O77" s="114" t="s">
        <v>238</v>
      </c>
      <c r="P77" s="114"/>
      <c r="Q77" s="114"/>
      <c r="R77" s="114"/>
      <c r="S77" s="114"/>
      <c r="T77" s="114"/>
      <c r="U77" s="114"/>
      <c r="V77" s="114"/>
      <c r="W77" s="114"/>
      <c r="X77" s="134" t="str">
        <f t="shared" si="4"/>
        <v/>
      </c>
      <c r="Y77" s="114">
        <v>1.98</v>
      </c>
      <c r="Z77" s="135" t="str">
        <f t="shared" si="5"/>
        <v/>
      </c>
      <c r="AA77" s="167" t="str">
        <f>+J77</f>
        <v>W duff</v>
      </c>
      <c r="AB77" s="160" t="s">
        <v>814</v>
      </c>
      <c r="AC77" s="160" t="s">
        <v>815</v>
      </c>
      <c r="AD77" s="160" t="s">
        <v>816</v>
      </c>
      <c r="AE77" s="160" t="s">
        <v>817</v>
      </c>
      <c r="AF77" s="160" t="s">
        <v>818</v>
      </c>
      <c r="AG77" s="160" t="s">
        <v>819</v>
      </c>
    </row>
    <row r="78" spans="1:39">
      <c r="A78" s="110">
        <v>121</v>
      </c>
      <c r="B78" s="115" t="s">
        <v>223</v>
      </c>
      <c r="C78" s="115">
        <v>2003</v>
      </c>
      <c r="D78" s="115" t="s">
        <v>224</v>
      </c>
      <c r="E78" s="113" t="s">
        <v>225</v>
      </c>
      <c r="F78" s="114">
        <v>2002</v>
      </c>
      <c r="G78" s="114" t="s">
        <v>226</v>
      </c>
      <c r="H78" s="114" t="s">
        <v>49</v>
      </c>
      <c r="I78" s="114"/>
      <c r="J78" s="114" t="s">
        <v>709</v>
      </c>
      <c r="K78" s="114" t="s">
        <v>716</v>
      </c>
      <c r="L78" s="114" t="s">
        <v>227</v>
      </c>
      <c r="M78" s="114" t="s">
        <v>805</v>
      </c>
      <c r="N78" s="114" t="s">
        <v>806</v>
      </c>
      <c r="O78" s="114" t="s">
        <v>228</v>
      </c>
      <c r="P78" s="114"/>
      <c r="Q78" s="114"/>
      <c r="R78" s="114"/>
      <c r="S78" s="114"/>
      <c r="T78" s="114"/>
      <c r="U78" s="114"/>
      <c r="V78" s="114"/>
      <c r="W78" s="114"/>
      <c r="X78" s="134" t="str">
        <f t="shared" si="4"/>
        <v/>
      </c>
      <c r="Y78" s="114">
        <v>2.1800000000000002</v>
      </c>
      <c r="Z78" s="135" t="str">
        <f t="shared" si="5"/>
        <v/>
      </c>
      <c r="AA78" s="160" t="s">
        <v>813</v>
      </c>
      <c r="AB78" s="160">
        <f>AVERAGE($Y$77:$Y$80)</f>
        <v>3.8724999999999996</v>
      </c>
      <c r="AC78" s="160">
        <f>MEDIAN($Y$77:$Y$80)</f>
        <v>3.6100000000000003</v>
      </c>
      <c r="AD78" s="160">
        <f>MAX($Y$77:$Y$80)</f>
        <v>6.29</v>
      </c>
      <c r="AE78" s="160">
        <f>MIN($Y$77:$Y$80)</f>
        <v>1.98</v>
      </c>
      <c r="AF78" s="160">
        <f>STDEV($Y$77:$Y$80)</f>
        <v>2.133344401012959</v>
      </c>
      <c r="AG78" s="160">
        <f>COUNT($Y$77:$Y$80)</f>
        <v>4</v>
      </c>
    </row>
    <row r="79" spans="1:39">
      <c r="A79" s="110">
        <v>121</v>
      </c>
      <c r="B79" s="115" t="s">
        <v>223</v>
      </c>
      <c r="C79" s="115">
        <v>2003</v>
      </c>
      <c r="D79" s="115" t="s">
        <v>224</v>
      </c>
      <c r="E79" s="113" t="s">
        <v>225</v>
      </c>
      <c r="F79" s="114">
        <v>2002</v>
      </c>
      <c r="G79" s="114" t="s">
        <v>234</v>
      </c>
      <c r="H79" s="114" t="s">
        <v>49</v>
      </c>
      <c r="I79" s="114"/>
      <c r="J79" s="114" t="s">
        <v>709</v>
      </c>
      <c r="K79" s="114" t="s">
        <v>714</v>
      </c>
      <c r="L79" s="114" t="s">
        <v>230</v>
      </c>
      <c r="M79" s="114" t="s">
        <v>434</v>
      </c>
      <c r="N79" s="114" t="s">
        <v>235</v>
      </c>
      <c r="O79" s="114" t="s">
        <v>236</v>
      </c>
      <c r="P79" s="114"/>
      <c r="Q79" s="114"/>
      <c r="R79" s="114"/>
      <c r="S79" s="114"/>
      <c r="T79" s="114"/>
      <c r="U79" s="114"/>
      <c r="V79" s="114"/>
      <c r="W79" s="114"/>
      <c r="X79" s="134" t="str">
        <f t="shared" si="4"/>
        <v/>
      </c>
      <c r="Y79" s="114">
        <v>5.04</v>
      </c>
      <c r="Z79" s="135" t="str">
        <f t="shared" si="5"/>
        <v/>
      </c>
    </row>
    <row r="80" spans="1:39">
      <c r="A80" s="110">
        <v>121</v>
      </c>
      <c r="B80" s="115" t="s">
        <v>223</v>
      </c>
      <c r="C80" s="115">
        <v>2003</v>
      </c>
      <c r="D80" s="115" t="s">
        <v>224</v>
      </c>
      <c r="E80" s="113" t="s">
        <v>225</v>
      </c>
      <c r="F80" s="114">
        <v>2002</v>
      </c>
      <c r="G80" s="114" t="s">
        <v>234</v>
      </c>
      <c r="H80" s="114" t="s">
        <v>49</v>
      </c>
      <c r="I80" s="114"/>
      <c r="J80" s="114" t="s">
        <v>709</v>
      </c>
      <c r="K80" s="114" t="s">
        <v>714</v>
      </c>
      <c r="L80" s="114" t="s">
        <v>230</v>
      </c>
      <c r="M80" s="114" t="s">
        <v>434</v>
      </c>
      <c r="N80" s="114" t="s">
        <v>235</v>
      </c>
      <c r="O80" s="114" t="s">
        <v>237</v>
      </c>
      <c r="P80" s="114"/>
      <c r="Q80" s="114"/>
      <c r="R80" s="114"/>
      <c r="S80" s="114"/>
      <c r="T80" s="114"/>
      <c r="U80" s="114"/>
      <c r="V80" s="114"/>
      <c r="W80" s="114"/>
      <c r="X80" s="134" t="str">
        <f t="shared" si="4"/>
        <v/>
      </c>
      <c r="Y80" s="114">
        <v>6.29</v>
      </c>
      <c r="Z80" s="135" t="str">
        <f t="shared" si="5"/>
        <v/>
      </c>
    </row>
    <row r="81" spans="1:39" s="139" customFormat="1">
      <c r="A81" s="140">
        <v>118</v>
      </c>
      <c r="B81" s="168" t="s">
        <v>199</v>
      </c>
      <c r="C81" s="136">
        <v>1999</v>
      </c>
      <c r="D81" s="168" t="s">
        <v>200</v>
      </c>
      <c r="E81" s="142" t="s">
        <v>16</v>
      </c>
      <c r="F81" s="136">
        <v>1999</v>
      </c>
      <c r="G81" s="136" t="s">
        <v>125</v>
      </c>
      <c r="H81" s="136" t="s">
        <v>49</v>
      </c>
      <c r="I81" s="136"/>
      <c r="J81" s="136" t="s">
        <v>658</v>
      </c>
      <c r="K81" s="136" t="s">
        <v>683</v>
      </c>
      <c r="L81" s="136" t="s">
        <v>202</v>
      </c>
      <c r="M81" s="136"/>
      <c r="N81" s="136"/>
      <c r="O81" s="136">
        <v>11</v>
      </c>
      <c r="P81" s="136"/>
      <c r="Q81" s="136"/>
      <c r="R81" s="136"/>
      <c r="S81" s="136"/>
      <c r="T81" s="136"/>
      <c r="U81" s="136">
        <v>0.97</v>
      </c>
      <c r="V81" s="136"/>
      <c r="W81" s="136"/>
      <c r="X81" s="137">
        <f t="shared" si="4"/>
        <v>0.97</v>
      </c>
      <c r="Y81" s="136">
        <v>0.20699999999999999</v>
      </c>
      <c r="Z81" s="138" t="str">
        <f t="shared" si="5"/>
        <v>F</v>
      </c>
      <c r="AA81" s="166" t="str">
        <f>+J81</f>
        <v>W grass</v>
      </c>
      <c r="AB81" s="157" t="s">
        <v>814</v>
      </c>
      <c r="AC81" s="157" t="s">
        <v>815</v>
      </c>
      <c r="AD81" s="157" t="s">
        <v>816</v>
      </c>
      <c r="AE81" s="157" t="s">
        <v>817</v>
      </c>
      <c r="AF81" s="157" t="s">
        <v>818</v>
      </c>
      <c r="AG81" s="157" t="s">
        <v>819</v>
      </c>
      <c r="AH81" s="137"/>
      <c r="AI81" s="137"/>
      <c r="AJ81" s="137"/>
      <c r="AK81" s="137"/>
      <c r="AL81" s="137"/>
      <c r="AM81" s="137"/>
    </row>
    <row r="82" spans="1:39" s="139" customFormat="1">
      <c r="A82" s="140">
        <v>118</v>
      </c>
      <c r="B82" s="168" t="s">
        <v>199</v>
      </c>
      <c r="C82" s="136">
        <v>1999</v>
      </c>
      <c r="D82" s="168" t="s">
        <v>200</v>
      </c>
      <c r="E82" s="142" t="s">
        <v>16</v>
      </c>
      <c r="F82" s="136">
        <v>1999</v>
      </c>
      <c r="G82" s="136" t="s">
        <v>125</v>
      </c>
      <c r="H82" s="136" t="s">
        <v>49</v>
      </c>
      <c r="I82" s="136"/>
      <c r="J82" s="136" t="s">
        <v>658</v>
      </c>
      <c r="K82" s="136" t="s">
        <v>683</v>
      </c>
      <c r="L82" s="136" t="s">
        <v>202</v>
      </c>
      <c r="M82" s="136"/>
      <c r="N82" s="136"/>
      <c r="O82" s="136">
        <v>12</v>
      </c>
      <c r="P82" s="136"/>
      <c r="Q82" s="136"/>
      <c r="R82" s="136"/>
      <c r="S82" s="136"/>
      <c r="T82" s="136"/>
      <c r="U82" s="136">
        <v>0.96</v>
      </c>
      <c r="V82" s="136"/>
      <c r="W82" s="136"/>
      <c r="X82" s="137">
        <f t="shared" si="4"/>
        <v>0.96</v>
      </c>
      <c r="Y82" s="136">
        <v>0.314</v>
      </c>
      <c r="Z82" s="138" t="str">
        <f t="shared" si="5"/>
        <v>F</v>
      </c>
      <c r="AA82" s="157" t="s">
        <v>813</v>
      </c>
      <c r="AB82" s="157">
        <f>AVERAGE($Y$81:$Y$83)</f>
        <v>0.29566666666666669</v>
      </c>
      <c r="AC82" s="157">
        <f>MEDIAN($Y$81:$Y$83)</f>
        <v>0.314</v>
      </c>
      <c r="AD82" s="157">
        <f>MAX($Y$81:$Y$83)</f>
        <v>0.36599999999999999</v>
      </c>
      <c r="AE82" s="157">
        <f>MIN($Y$81:$Y$83)</f>
        <v>0.20699999999999999</v>
      </c>
      <c r="AF82" s="157">
        <f>STDEV($Y$81:$Y$83)</f>
        <v>8.1069928662441282E-2</v>
      </c>
      <c r="AG82" s="157">
        <f>COUNT($Y$81:$Y$83)</f>
        <v>3</v>
      </c>
      <c r="AH82" s="137"/>
      <c r="AI82" s="137"/>
      <c r="AJ82" s="137"/>
      <c r="AK82" s="137"/>
      <c r="AL82" s="137"/>
      <c r="AM82" s="137"/>
    </row>
    <row r="83" spans="1:39" s="139" customFormat="1">
      <c r="A83" s="140">
        <v>118</v>
      </c>
      <c r="B83" s="168" t="s">
        <v>199</v>
      </c>
      <c r="C83" s="136">
        <v>1999</v>
      </c>
      <c r="D83" s="168" t="s">
        <v>200</v>
      </c>
      <c r="E83" s="142" t="s">
        <v>16</v>
      </c>
      <c r="F83" s="136">
        <v>1999</v>
      </c>
      <c r="G83" s="136" t="s">
        <v>125</v>
      </c>
      <c r="H83" s="136" t="s">
        <v>49</v>
      </c>
      <c r="I83" s="136"/>
      <c r="J83" s="136" t="s">
        <v>658</v>
      </c>
      <c r="K83" s="136" t="s">
        <v>683</v>
      </c>
      <c r="L83" s="136" t="s">
        <v>202</v>
      </c>
      <c r="M83" s="136"/>
      <c r="N83" s="136"/>
      <c r="O83" s="136">
        <v>2</v>
      </c>
      <c r="P83" s="136"/>
      <c r="Q83" s="136"/>
      <c r="R83" s="136"/>
      <c r="S83" s="136"/>
      <c r="T83" s="136"/>
      <c r="U83" s="136">
        <v>0.96</v>
      </c>
      <c r="V83" s="136"/>
      <c r="W83" s="136"/>
      <c r="X83" s="137">
        <f t="shared" si="4"/>
        <v>0.96</v>
      </c>
      <c r="Y83" s="136">
        <v>0.36599999999999999</v>
      </c>
      <c r="Z83" s="138" t="str">
        <f t="shared" si="5"/>
        <v>F</v>
      </c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</row>
    <row r="84" spans="1:39">
      <c r="A84" s="110">
        <v>121</v>
      </c>
      <c r="B84" s="115" t="s">
        <v>223</v>
      </c>
      <c r="C84" s="115">
        <v>2003</v>
      </c>
      <c r="D84" s="115" t="s">
        <v>224</v>
      </c>
      <c r="E84" s="113" t="s">
        <v>225</v>
      </c>
      <c r="F84" s="114">
        <v>2002</v>
      </c>
      <c r="G84" s="114" t="s">
        <v>242</v>
      </c>
      <c r="H84" s="114" t="s">
        <v>49</v>
      </c>
      <c r="I84" s="114"/>
      <c r="J84" s="114" t="s">
        <v>705</v>
      </c>
      <c r="K84" s="114" t="s">
        <v>713</v>
      </c>
      <c r="L84" s="114" t="s">
        <v>243</v>
      </c>
      <c r="M84" s="114" t="s">
        <v>244</v>
      </c>
      <c r="N84" s="121" t="s">
        <v>245</v>
      </c>
      <c r="O84" s="114" t="s">
        <v>246</v>
      </c>
      <c r="P84" s="114"/>
      <c r="Q84" s="114"/>
      <c r="R84" s="114"/>
      <c r="S84" s="114"/>
      <c r="T84" s="114"/>
      <c r="U84" s="114"/>
      <c r="V84" s="114"/>
      <c r="W84" s="114"/>
      <c r="X84" s="134" t="str">
        <f t="shared" si="4"/>
        <v/>
      </c>
      <c r="Y84" s="114">
        <v>0.53</v>
      </c>
      <c r="Z84" s="135" t="str">
        <f t="shared" si="5"/>
        <v/>
      </c>
      <c r="AA84" s="167" t="str">
        <f>+J84</f>
        <v>W hardwood</v>
      </c>
      <c r="AB84" s="160" t="s">
        <v>814</v>
      </c>
      <c r="AC84" s="160" t="s">
        <v>815</v>
      </c>
      <c r="AD84" s="160" t="s">
        <v>816</v>
      </c>
      <c r="AE84" s="160" t="s">
        <v>817</v>
      </c>
      <c r="AF84" s="160" t="s">
        <v>818</v>
      </c>
      <c r="AG84" s="160" t="s">
        <v>819</v>
      </c>
    </row>
    <row r="85" spans="1:39">
      <c r="A85" s="110">
        <v>172</v>
      </c>
      <c r="B85" s="114" t="s">
        <v>302</v>
      </c>
      <c r="C85" s="114">
        <v>2010</v>
      </c>
      <c r="D85" s="114" t="s">
        <v>303</v>
      </c>
      <c r="E85" s="113" t="s">
        <v>305</v>
      </c>
      <c r="F85" s="123">
        <v>40225</v>
      </c>
      <c r="G85" s="114" t="s">
        <v>324</v>
      </c>
      <c r="H85" s="114" t="s">
        <v>301</v>
      </c>
      <c r="I85" s="114"/>
      <c r="J85" s="114" t="s">
        <v>705</v>
      </c>
      <c r="K85" s="114" t="s">
        <v>724</v>
      </c>
      <c r="L85" s="114" t="s">
        <v>327</v>
      </c>
      <c r="M85" s="124" t="s">
        <v>328</v>
      </c>
      <c r="N85" s="124" t="s">
        <v>329</v>
      </c>
      <c r="O85" s="114"/>
      <c r="P85" s="120"/>
      <c r="Q85" s="120"/>
      <c r="R85" s="114"/>
      <c r="S85" s="114"/>
      <c r="T85" s="114"/>
      <c r="U85" s="120">
        <v>0.97099999999999997</v>
      </c>
      <c r="V85" s="125"/>
      <c r="W85" s="125"/>
      <c r="X85" s="134">
        <f t="shared" si="4"/>
        <v>0.97099999999999997</v>
      </c>
      <c r="Y85" s="125">
        <v>0.26900000000000002</v>
      </c>
      <c r="Z85" s="135" t="str">
        <f t="shared" si="5"/>
        <v>F</v>
      </c>
      <c r="AA85" s="160" t="s">
        <v>813</v>
      </c>
      <c r="AB85" s="160">
        <f>AVERAGE($Y$84:$Y$87)</f>
        <v>0.58224999999999993</v>
      </c>
      <c r="AC85" s="160">
        <f>MEDIAN($Y$84:$Y$87)</f>
        <v>0.55499999999999994</v>
      </c>
      <c r="AD85" s="160">
        <f>MAX($Y$84:$Y$87)</f>
        <v>0.95</v>
      </c>
      <c r="AE85" s="160">
        <f>MIN($Y$84:$Y$87)</f>
        <v>0.26900000000000002</v>
      </c>
      <c r="AF85" s="160">
        <f>STDEV($Y$84:$Y$87)</f>
        <v>0.2805356483586357</v>
      </c>
      <c r="AG85" s="160">
        <f>COUNT($Y$84:$Y$87)</f>
        <v>4</v>
      </c>
    </row>
    <row r="86" spans="1:39">
      <c r="A86" s="110">
        <v>172</v>
      </c>
      <c r="B86" s="114" t="s">
        <v>302</v>
      </c>
      <c r="C86" s="114">
        <v>2010</v>
      </c>
      <c r="D86" s="114" t="s">
        <v>303</v>
      </c>
      <c r="E86" s="113" t="s">
        <v>305</v>
      </c>
      <c r="F86" s="123">
        <v>40226</v>
      </c>
      <c r="G86" s="114" t="s">
        <v>324</v>
      </c>
      <c r="H86" s="114" t="s">
        <v>301</v>
      </c>
      <c r="I86" s="114"/>
      <c r="J86" s="114" t="s">
        <v>705</v>
      </c>
      <c r="K86" s="114" t="s">
        <v>724</v>
      </c>
      <c r="L86" s="114" t="s">
        <v>330</v>
      </c>
      <c r="M86" s="124" t="s">
        <v>328</v>
      </c>
      <c r="N86" s="124" t="s">
        <v>331</v>
      </c>
      <c r="O86" s="114"/>
      <c r="P86" s="120"/>
      <c r="Q86" s="120"/>
      <c r="R86" s="114"/>
      <c r="S86" s="114"/>
      <c r="T86" s="114"/>
      <c r="U86" s="120">
        <v>0.96499999999999997</v>
      </c>
      <c r="V86" s="125"/>
      <c r="W86" s="125"/>
      <c r="X86" s="134">
        <f t="shared" si="4"/>
        <v>0.96499999999999997</v>
      </c>
      <c r="Y86" s="125">
        <v>0.57999999999999996</v>
      </c>
      <c r="Z86" s="135" t="str">
        <f t="shared" si="5"/>
        <v>F</v>
      </c>
    </row>
    <row r="87" spans="1:39">
      <c r="A87" s="110">
        <v>173</v>
      </c>
      <c r="B87" s="114" t="s">
        <v>302</v>
      </c>
      <c r="C87" s="114">
        <v>2011</v>
      </c>
      <c r="D87" s="122" t="s">
        <v>352</v>
      </c>
      <c r="E87" s="113" t="s">
        <v>354</v>
      </c>
      <c r="F87" s="123" t="s">
        <v>390</v>
      </c>
      <c r="G87" s="114" t="s">
        <v>391</v>
      </c>
      <c r="H87" s="114" t="s">
        <v>301</v>
      </c>
      <c r="I87" s="114"/>
      <c r="J87" s="114" t="s">
        <v>705</v>
      </c>
      <c r="K87" s="114" t="s">
        <v>724</v>
      </c>
      <c r="L87" s="114" t="s">
        <v>392</v>
      </c>
      <c r="M87" s="121"/>
      <c r="N87" s="121"/>
      <c r="O87" s="114" t="s">
        <v>393</v>
      </c>
      <c r="P87" s="120"/>
      <c r="Q87" s="120"/>
      <c r="R87" s="114"/>
      <c r="S87" s="114"/>
      <c r="T87" s="114"/>
      <c r="U87" s="125">
        <v>0.94</v>
      </c>
      <c r="V87" s="114"/>
      <c r="W87" s="114"/>
      <c r="X87" s="134">
        <f t="shared" si="4"/>
        <v>0.94</v>
      </c>
      <c r="Y87" s="114">
        <v>0.95</v>
      </c>
      <c r="Z87" s="135" t="str">
        <f t="shared" si="5"/>
        <v>F</v>
      </c>
    </row>
    <row r="88" spans="1:39" s="139" customFormat="1">
      <c r="A88" s="140">
        <v>63</v>
      </c>
      <c r="B88" s="145" t="s">
        <v>53</v>
      </c>
      <c r="C88" s="145">
        <v>1989</v>
      </c>
      <c r="D88" s="145" t="s">
        <v>54</v>
      </c>
      <c r="E88" s="142" t="s">
        <v>56</v>
      </c>
      <c r="F88" s="148">
        <v>31950</v>
      </c>
      <c r="G88" s="136" t="s">
        <v>57</v>
      </c>
      <c r="H88" s="136" t="s">
        <v>39</v>
      </c>
      <c r="I88" s="136"/>
      <c r="J88" s="136" t="s">
        <v>704</v>
      </c>
      <c r="K88" s="136" t="s">
        <v>614</v>
      </c>
      <c r="L88" s="136" t="s">
        <v>58</v>
      </c>
      <c r="M88" s="136"/>
      <c r="N88" s="136"/>
      <c r="O88" s="136" t="s">
        <v>43</v>
      </c>
      <c r="P88" s="136"/>
      <c r="Q88" s="136"/>
      <c r="R88" s="136"/>
      <c r="S88" s="136"/>
      <c r="T88" s="136"/>
      <c r="U88" s="136"/>
      <c r="V88" s="136"/>
      <c r="W88" s="136"/>
      <c r="X88" s="137" t="str">
        <f t="shared" si="4"/>
        <v/>
      </c>
      <c r="Y88" s="136">
        <v>0.09</v>
      </c>
      <c r="Z88" s="138" t="str">
        <f t="shared" si="5"/>
        <v/>
      </c>
      <c r="AA88" s="166" t="str">
        <f>+J88</f>
        <v>W shrub</v>
      </c>
      <c r="AB88" s="157" t="s">
        <v>814</v>
      </c>
      <c r="AC88" s="157" t="s">
        <v>815</v>
      </c>
      <c r="AD88" s="157" t="s">
        <v>816</v>
      </c>
      <c r="AE88" s="157" t="s">
        <v>817</v>
      </c>
      <c r="AF88" s="157" t="s">
        <v>818</v>
      </c>
      <c r="AG88" s="157" t="s">
        <v>819</v>
      </c>
      <c r="AH88" s="137"/>
      <c r="AI88" s="137"/>
      <c r="AJ88" s="137"/>
      <c r="AK88" s="137"/>
      <c r="AL88" s="137"/>
      <c r="AM88" s="137"/>
    </row>
    <row r="89" spans="1:39" s="139" customFormat="1">
      <c r="A89" s="140">
        <v>63</v>
      </c>
      <c r="B89" s="145" t="s">
        <v>53</v>
      </c>
      <c r="C89" s="145">
        <v>1989</v>
      </c>
      <c r="D89" s="145" t="s">
        <v>54</v>
      </c>
      <c r="E89" s="142" t="s">
        <v>56</v>
      </c>
      <c r="F89" s="148">
        <v>31758</v>
      </c>
      <c r="G89" s="136" t="s">
        <v>57</v>
      </c>
      <c r="H89" s="136" t="s">
        <v>39</v>
      </c>
      <c r="I89" s="136"/>
      <c r="J89" s="136" t="s">
        <v>704</v>
      </c>
      <c r="K89" s="136" t="s">
        <v>614</v>
      </c>
      <c r="L89" s="136" t="s">
        <v>58</v>
      </c>
      <c r="M89" s="136"/>
      <c r="N89" s="136"/>
      <c r="O89" s="136" t="s">
        <v>59</v>
      </c>
      <c r="P89" s="136"/>
      <c r="Q89" s="136"/>
      <c r="R89" s="136"/>
      <c r="S89" s="136"/>
      <c r="T89" s="136"/>
      <c r="U89" s="136"/>
      <c r="V89" s="136"/>
      <c r="W89" s="136"/>
      <c r="X89" s="137" t="str">
        <f t="shared" si="4"/>
        <v/>
      </c>
      <c r="Y89" s="136">
        <v>1.7</v>
      </c>
      <c r="Z89" s="138" t="str">
        <f t="shared" si="5"/>
        <v/>
      </c>
      <c r="AA89" s="233" t="s">
        <v>828</v>
      </c>
      <c r="AB89" s="234">
        <f>AVERAGE($Y$88:$Y$118)</f>
        <v>1.4799354838709677</v>
      </c>
      <c r="AC89" s="234">
        <f>MEDIAN($Y$88:$Y$118)</f>
        <v>1.1299999999999999</v>
      </c>
      <c r="AD89" s="234">
        <f>MAX($Y$88:$Y$118)</f>
        <v>4.24</v>
      </c>
      <c r="AE89" s="234">
        <f>MIN($Y$88:$Y$118)</f>
        <v>0.09</v>
      </c>
      <c r="AF89" s="234">
        <f>STDEV($Y$88:$Y$118)</f>
        <v>1.1592824773822776</v>
      </c>
      <c r="AG89" s="235">
        <f>COUNT($Y$88:$Y$118)</f>
        <v>31</v>
      </c>
      <c r="AH89" s="137"/>
      <c r="AI89" s="137"/>
      <c r="AJ89" s="137"/>
      <c r="AK89" s="137"/>
      <c r="AL89" s="137"/>
      <c r="AM89" s="137"/>
    </row>
    <row r="90" spans="1:39" s="139" customFormat="1">
      <c r="A90" s="140">
        <v>174</v>
      </c>
      <c r="B90" s="136" t="s">
        <v>407</v>
      </c>
      <c r="C90" s="136">
        <v>2009</v>
      </c>
      <c r="D90" s="141" t="s">
        <v>408</v>
      </c>
      <c r="E90" s="142" t="s">
        <v>16</v>
      </c>
      <c r="F90" s="143" t="s">
        <v>410</v>
      </c>
      <c r="G90" s="136" t="s">
        <v>454</v>
      </c>
      <c r="H90" s="136" t="s">
        <v>455</v>
      </c>
      <c r="I90" s="136"/>
      <c r="J90" s="136" t="s">
        <v>704</v>
      </c>
      <c r="K90" s="136" t="s">
        <v>743</v>
      </c>
      <c r="L90" s="136" t="s">
        <v>456</v>
      </c>
      <c r="M90" s="144"/>
      <c r="N90" s="144"/>
      <c r="O90" s="136" t="s">
        <v>457</v>
      </c>
      <c r="P90" s="145"/>
      <c r="Q90" s="145"/>
      <c r="R90" s="136"/>
      <c r="S90" s="136"/>
      <c r="T90" s="136"/>
      <c r="U90" s="146">
        <v>0.95599999999999996</v>
      </c>
      <c r="V90" s="136"/>
      <c r="W90" s="136"/>
      <c r="X90" s="137">
        <f t="shared" si="4"/>
        <v>0.95599999999999996</v>
      </c>
      <c r="Y90" s="147">
        <v>0.8</v>
      </c>
      <c r="Z90" s="138" t="str">
        <f t="shared" si="5"/>
        <v>F</v>
      </c>
      <c r="AA90" s="157" t="s">
        <v>829</v>
      </c>
      <c r="AB90" s="164">
        <f>AVERAGE($Y$90:$Y$115)</f>
        <v>1.4516538461538462</v>
      </c>
      <c r="AC90" s="164">
        <f>MEDIAN($Y$90:$Y$115)</f>
        <v>1.0209999999999999</v>
      </c>
      <c r="AD90" s="164">
        <f>MAX($Y$90:$Y$115)</f>
        <v>4.24</v>
      </c>
      <c r="AE90" s="164">
        <f>MIN($Y$90:$Y$115)</f>
        <v>0.41</v>
      </c>
      <c r="AF90" s="164">
        <f>STDEV($Y$90:$Y$115)</f>
        <v>1.1028628180261655</v>
      </c>
      <c r="AG90" s="236">
        <f>COUNT($Y$90:$Y$115)</f>
        <v>26</v>
      </c>
      <c r="AH90" s="137"/>
      <c r="AI90" s="137"/>
      <c r="AJ90" s="137"/>
      <c r="AK90" s="137"/>
      <c r="AL90" s="137"/>
      <c r="AM90" s="137"/>
    </row>
    <row r="91" spans="1:39" s="139" customFormat="1">
      <c r="A91" s="140">
        <v>172</v>
      </c>
      <c r="B91" s="136" t="s">
        <v>302</v>
      </c>
      <c r="C91" s="136">
        <v>2010</v>
      </c>
      <c r="D91" s="136" t="s">
        <v>303</v>
      </c>
      <c r="E91" s="142" t="s">
        <v>305</v>
      </c>
      <c r="F91" s="143">
        <v>40224</v>
      </c>
      <c r="G91" s="136" t="s">
        <v>324</v>
      </c>
      <c r="H91" s="136" t="s">
        <v>301</v>
      </c>
      <c r="I91" s="136"/>
      <c r="J91" s="136" t="s">
        <v>704</v>
      </c>
      <c r="K91" s="136" t="s">
        <v>723</v>
      </c>
      <c r="L91" s="136" t="s">
        <v>325</v>
      </c>
      <c r="M91" s="151" t="s">
        <v>326</v>
      </c>
      <c r="N91" s="151"/>
      <c r="O91" s="136"/>
      <c r="P91" s="145"/>
      <c r="Q91" s="145"/>
      <c r="R91" s="136"/>
      <c r="S91" s="136"/>
      <c r="T91" s="136"/>
      <c r="U91" s="145">
        <v>0.95399999999999996</v>
      </c>
      <c r="V91" s="146"/>
      <c r="W91" s="146"/>
      <c r="X91" s="137">
        <f t="shared" si="4"/>
        <v>0.95399999999999996</v>
      </c>
      <c r="Y91" s="146">
        <v>0.71699999999999997</v>
      </c>
      <c r="Z91" s="138" t="str">
        <f t="shared" si="5"/>
        <v>F</v>
      </c>
      <c r="AA91" s="157" t="s">
        <v>830</v>
      </c>
      <c r="AB91" s="164">
        <f>AVERAGE($Y$116:$Y$118)</f>
        <v>2.1149999999999998</v>
      </c>
      <c r="AC91" s="164">
        <f>MEDIAN($Y$116:$Y$118)</f>
        <v>2</v>
      </c>
      <c r="AD91" s="164">
        <f>MAX($Y$116:$Y$118)</f>
        <v>4</v>
      </c>
      <c r="AE91" s="164">
        <f>MIN($Y$116:$Y$118)</f>
        <v>0.34499999999999997</v>
      </c>
      <c r="AF91" s="164">
        <f>STDEV($Y$116:$Y$118)</f>
        <v>1.8302117363846189</v>
      </c>
      <c r="AG91" s="236">
        <f>COUNT($Y$116:$Y$118)</f>
        <v>3</v>
      </c>
      <c r="AH91" s="137"/>
      <c r="AI91" s="137"/>
      <c r="AJ91" s="137"/>
      <c r="AK91" s="137"/>
      <c r="AL91" s="137"/>
      <c r="AM91" s="137"/>
    </row>
    <row r="92" spans="1:39" s="139" customFormat="1">
      <c r="A92" s="140">
        <v>172</v>
      </c>
      <c r="B92" s="136" t="s">
        <v>302</v>
      </c>
      <c r="C92" s="136">
        <v>2010</v>
      </c>
      <c r="D92" s="136" t="s">
        <v>303</v>
      </c>
      <c r="E92" s="142" t="s">
        <v>305</v>
      </c>
      <c r="F92" s="143">
        <v>40223</v>
      </c>
      <c r="G92" s="136" t="s">
        <v>311</v>
      </c>
      <c r="H92" s="136" t="s">
        <v>39</v>
      </c>
      <c r="I92" s="136"/>
      <c r="J92" s="136" t="s">
        <v>704</v>
      </c>
      <c r="K92" s="136" t="s">
        <v>612</v>
      </c>
      <c r="L92" s="136" t="s">
        <v>321</v>
      </c>
      <c r="M92" s="151" t="s">
        <v>322</v>
      </c>
      <c r="N92" s="151" t="s">
        <v>323</v>
      </c>
      <c r="O92" s="136"/>
      <c r="P92" s="145"/>
      <c r="Q92" s="145"/>
      <c r="R92" s="136"/>
      <c r="S92" s="136"/>
      <c r="T92" s="136"/>
      <c r="U92" s="145">
        <v>0.95199999999999996</v>
      </c>
      <c r="V92" s="146"/>
      <c r="W92" s="146"/>
      <c r="X92" s="137">
        <f t="shared" si="4"/>
        <v>0.95199999999999996</v>
      </c>
      <c r="Y92" s="146">
        <v>0.76900000000000002</v>
      </c>
      <c r="Z92" s="138" t="str">
        <f t="shared" si="5"/>
        <v>F</v>
      </c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</row>
    <row r="93" spans="1:39" s="139" customFormat="1">
      <c r="A93" s="140">
        <v>173</v>
      </c>
      <c r="B93" s="136" t="s">
        <v>302</v>
      </c>
      <c r="C93" s="136">
        <v>2011</v>
      </c>
      <c r="D93" s="141" t="s">
        <v>352</v>
      </c>
      <c r="E93" s="142" t="s">
        <v>354</v>
      </c>
      <c r="F93" s="143" t="s">
        <v>375</v>
      </c>
      <c r="G93" s="136" t="s">
        <v>311</v>
      </c>
      <c r="H93" s="136" t="s">
        <v>39</v>
      </c>
      <c r="I93" s="136"/>
      <c r="J93" s="136" t="s">
        <v>704</v>
      </c>
      <c r="K93" s="136" t="s">
        <v>712</v>
      </c>
      <c r="L93" s="136" t="s">
        <v>376</v>
      </c>
      <c r="M93" s="144"/>
      <c r="N93" s="144"/>
      <c r="O93" s="136" t="s">
        <v>377</v>
      </c>
      <c r="P93" s="145"/>
      <c r="Q93" s="145"/>
      <c r="R93" s="136"/>
      <c r="S93" s="136"/>
      <c r="T93" s="136"/>
      <c r="U93" s="146">
        <v>0.95</v>
      </c>
      <c r="V93" s="136"/>
      <c r="W93" s="136"/>
      <c r="X93" s="137">
        <f t="shared" si="4"/>
        <v>0.95</v>
      </c>
      <c r="Y93" s="136">
        <v>0.52</v>
      </c>
      <c r="Z93" s="138" t="str">
        <f t="shared" si="5"/>
        <v>F</v>
      </c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</row>
    <row r="94" spans="1:39" s="139" customFormat="1">
      <c r="A94" s="140">
        <v>172</v>
      </c>
      <c r="B94" s="136" t="s">
        <v>302</v>
      </c>
      <c r="C94" s="136">
        <v>2010</v>
      </c>
      <c r="D94" s="136" t="s">
        <v>303</v>
      </c>
      <c r="E94" s="142" t="s">
        <v>305</v>
      </c>
      <c r="F94" s="143">
        <v>40222</v>
      </c>
      <c r="G94" s="136" t="s">
        <v>311</v>
      </c>
      <c r="H94" s="136" t="s">
        <v>39</v>
      </c>
      <c r="I94" s="136"/>
      <c r="J94" s="136" t="s">
        <v>704</v>
      </c>
      <c r="K94" s="136" t="s">
        <v>679</v>
      </c>
      <c r="L94" s="136" t="s">
        <v>318</v>
      </c>
      <c r="M94" s="151" t="s">
        <v>319</v>
      </c>
      <c r="N94" s="151" t="s">
        <v>320</v>
      </c>
      <c r="O94" s="136"/>
      <c r="P94" s="145"/>
      <c r="Q94" s="145"/>
      <c r="R94" s="136"/>
      <c r="S94" s="136"/>
      <c r="T94" s="136"/>
      <c r="U94" s="145">
        <v>0.94799999999999995</v>
      </c>
      <c r="V94" s="146"/>
      <c r="W94" s="146"/>
      <c r="X94" s="137">
        <f t="shared" si="4"/>
        <v>0.94799999999999995</v>
      </c>
      <c r="Y94" s="146">
        <v>0.41099999999999998</v>
      </c>
      <c r="Z94" s="138" t="str">
        <f t="shared" si="5"/>
        <v>F</v>
      </c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</row>
    <row r="95" spans="1:39" s="139" customFormat="1">
      <c r="A95" s="140">
        <v>173</v>
      </c>
      <c r="B95" s="136" t="s">
        <v>302</v>
      </c>
      <c r="C95" s="136">
        <v>2011</v>
      </c>
      <c r="D95" s="141" t="s">
        <v>352</v>
      </c>
      <c r="E95" s="142" t="s">
        <v>354</v>
      </c>
      <c r="F95" s="143" t="s">
        <v>386</v>
      </c>
      <c r="G95" s="136" t="s">
        <v>387</v>
      </c>
      <c r="H95" s="136" t="s">
        <v>39</v>
      </c>
      <c r="I95" s="136"/>
      <c r="J95" s="136" t="s">
        <v>704</v>
      </c>
      <c r="K95" s="136" t="s">
        <v>712</v>
      </c>
      <c r="L95" s="136" t="s">
        <v>388</v>
      </c>
      <c r="M95" s="144"/>
      <c r="N95" s="144"/>
      <c r="O95" s="136" t="s">
        <v>389</v>
      </c>
      <c r="P95" s="145"/>
      <c r="Q95" s="145"/>
      <c r="R95" s="136"/>
      <c r="S95" s="136"/>
      <c r="T95" s="136"/>
      <c r="U95" s="146">
        <v>0.94699999999999995</v>
      </c>
      <c r="V95" s="136"/>
      <c r="W95" s="136"/>
      <c r="X95" s="137">
        <f t="shared" si="4"/>
        <v>0.94699999999999995</v>
      </c>
      <c r="Y95" s="136">
        <v>0.41</v>
      </c>
      <c r="Z95" s="138" t="str">
        <f t="shared" si="5"/>
        <v>F</v>
      </c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</row>
    <row r="96" spans="1:39" s="139" customFormat="1">
      <c r="A96" s="140">
        <v>172</v>
      </c>
      <c r="B96" s="136" t="s">
        <v>302</v>
      </c>
      <c r="C96" s="136">
        <v>2010</v>
      </c>
      <c r="D96" s="136" t="s">
        <v>303</v>
      </c>
      <c r="E96" s="142" t="s">
        <v>305</v>
      </c>
      <c r="F96" s="143">
        <v>40218</v>
      </c>
      <c r="G96" s="136" t="s">
        <v>306</v>
      </c>
      <c r="H96" s="136" t="s">
        <v>39</v>
      </c>
      <c r="I96" s="136"/>
      <c r="J96" s="136" t="s">
        <v>704</v>
      </c>
      <c r="K96" s="136" t="s">
        <v>725</v>
      </c>
      <c r="L96" s="136" t="s">
        <v>307</v>
      </c>
      <c r="M96" s="144" t="s">
        <v>308</v>
      </c>
      <c r="N96" s="144"/>
      <c r="O96" s="136"/>
      <c r="P96" s="136"/>
      <c r="Q96" s="136"/>
      <c r="R96" s="136"/>
      <c r="S96" s="136"/>
      <c r="T96" s="136"/>
      <c r="U96" s="145">
        <v>0.94599999999999995</v>
      </c>
      <c r="V96" s="146"/>
      <c r="W96" s="146"/>
      <c r="X96" s="137">
        <f t="shared" si="4"/>
        <v>0.94599999999999995</v>
      </c>
      <c r="Y96" s="146">
        <v>0.54</v>
      </c>
      <c r="Z96" s="138" t="str">
        <f t="shared" si="5"/>
        <v>F</v>
      </c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</row>
    <row r="97" spans="1:39" s="139" customFormat="1">
      <c r="A97" s="140">
        <v>172</v>
      </c>
      <c r="B97" s="136" t="s">
        <v>302</v>
      </c>
      <c r="C97" s="136">
        <v>2010</v>
      </c>
      <c r="D97" s="136" t="s">
        <v>303</v>
      </c>
      <c r="E97" s="142" t="s">
        <v>305</v>
      </c>
      <c r="F97" s="143">
        <v>40220</v>
      </c>
      <c r="G97" s="136" t="s">
        <v>311</v>
      </c>
      <c r="H97" s="136" t="s">
        <v>39</v>
      </c>
      <c r="I97" s="136"/>
      <c r="J97" s="136" t="s">
        <v>704</v>
      </c>
      <c r="K97" s="136" t="s">
        <v>655</v>
      </c>
      <c r="L97" s="136" t="s">
        <v>312</v>
      </c>
      <c r="M97" s="151" t="s">
        <v>313</v>
      </c>
      <c r="N97" s="151" t="s">
        <v>314</v>
      </c>
      <c r="O97" s="136"/>
      <c r="P97" s="145"/>
      <c r="Q97" s="145"/>
      <c r="R97" s="136"/>
      <c r="S97" s="136"/>
      <c r="T97" s="136"/>
      <c r="U97" s="145">
        <v>0.94399999999999995</v>
      </c>
      <c r="V97" s="146"/>
      <c r="W97" s="146"/>
      <c r="X97" s="137">
        <f t="shared" ref="X97:X118" si="6">IF(R97&lt;&gt;0,IF(R97&gt;1,R97/100,R97),IF(U97&lt;&gt;0,IF(U97&gt;1,U97/100,U97),""))</f>
        <v>0.94399999999999995</v>
      </c>
      <c r="Y97" s="146">
        <v>0.73399999999999999</v>
      </c>
      <c r="Z97" s="138" t="str">
        <f t="shared" ref="Z97:Z118" si="7">IF(X97&lt;&gt;"",IF(X97&lt;0.9,"S","F"),"")</f>
        <v>F</v>
      </c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</row>
    <row r="98" spans="1:39" s="139" customFormat="1">
      <c r="A98" s="140">
        <v>182</v>
      </c>
      <c r="B98" s="169" t="s">
        <v>466</v>
      </c>
      <c r="C98" s="136">
        <v>2010</v>
      </c>
      <c r="D98" s="168" t="s">
        <v>467</v>
      </c>
      <c r="E98" s="142" t="s">
        <v>16</v>
      </c>
      <c r="F98" s="136">
        <v>2008</v>
      </c>
      <c r="G98" s="136" t="s">
        <v>469</v>
      </c>
      <c r="H98" s="136" t="s">
        <v>470</v>
      </c>
      <c r="I98" s="136"/>
      <c r="J98" s="136" t="s">
        <v>704</v>
      </c>
      <c r="K98" s="136" t="s">
        <v>692</v>
      </c>
      <c r="L98" s="136" t="s">
        <v>587</v>
      </c>
      <c r="M98" s="136"/>
      <c r="N98" s="136"/>
      <c r="O98" s="136" t="s">
        <v>477</v>
      </c>
      <c r="P98" s="136"/>
      <c r="Q98" s="136"/>
      <c r="R98" s="136">
        <v>0.94</v>
      </c>
      <c r="S98" s="137"/>
      <c r="T98" s="137"/>
      <c r="U98" s="137"/>
      <c r="V98" s="170"/>
      <c r="W98" s="170"/>
      <c r="X98" s="137">
        <f t="shared" si="6"/>
        <v>0.94</v>
      </c>
      <c r="Y98" s="136">
        <f>3.4*0.48</f>
        <v>1.6319999999999999</v>
      </c>
      <c r="Z98" s="138" t="str">
        <f t="shared" si="7"/>
        <v>F</v>
      </c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</row>
    <row r="99" spans="1:39" s="139" customFormat="1">
      <c r="A99" s="140">
        <v>182</v>
      </c>
      <c r="B99" s="169" t="s">
        <v>466</v>
      </c>
      <c r="C99" s="136">
        <v>2010</v>
      </c>
      <c r="D99" s="168" t="s">
        <v>467</v>
      </c>
      <c r="E99" s="142" t="s">
        <v>16</v>
      </c>
      <c r="F99" s="136">
        <v>2008</v>
      </c>
      <c r="G99" s="136" t="s">
        <v>469</v>
      </c>
      <c r="H99" s="136" t="s">
        <v>470</v>
      </c>
      <c r="I99" s="136"/>
      <c r="J99" s="136" t="s">
        <v>704</v>
      </c>
      <c r="K99" s="136" t="s">
        <v>679</v>
      </c>
      <c r="L99" s="136" t="s">
        <v>583</v>
      </c>
      <c r="M99" s="136"/>
      <c r="N99" s="136"/>
      <c r="O99" s="136" t="s">
        <v>479</v>
      </c>
      <c r="P99" s="136"/>
      <c r="Q99" s="136"/>
      <c r="R99" s="136">
        <v>0.94</v>
      </c>
      <c r="S99" s="137"/>
      <c r="T99" s="137"/>
      <c r="U99" s="137"/>
      <c r="V99" s="170"/>
      <c r="W99" s="170"/>
      <c r="X99" s="137">
        <f t="shared" si="6"/>
        <v>0.94</v>
      </c>
      <c r="Y99" s="136">
        <f>1.9*0.48</f>
        <v>0.91199999999999992</v>
      </c>
      <c r="Z99" s="138" t="str">
        <f t="shared" si="7"/>
        <v>F</v>
      </c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</row>
    <row r="100" spans="1:39" s="139" customFormat="1">
      <c r="A100" s="140">
        <v>182</v>
      </c>
      <c r="B100" s="169" t="s">
        <v>466</v>
      </c>
      <c r="C100" s="136">
        <v>2010</v>
      </c>
      <c r="D100" s="168" t="s">
        <v>467</v>
      </c>
      <c r="E100" s="142" t="s">
        <v>16</v>
      </c>
      <c r="F100" s="136">
        <v>2008</v>
      </c>
      <c r="G100" s="136" t="s">
        <v>469</v>
      </c>
      <c r="H100" s="136" t="s">
        <v>470</v>
      </c>
      <c r="I100" s="136"/>
      <c r="J100" s="136" t="s">
        <v>704</v>
      </c>
      <c r="K100" s="136" t="s">
        <v>688</v>
      </c>
      <c r="L100" s="136" t="s">
        <v>582</v>
      </c>
      <c r="M100" s="136"/>
      <c r="N100" s="136"/>
      <c r="O100" s="136" t="s">
        <v>472</v>
      </c>
      <c r="P100" s="136"/>
      <c r="Q100" s="136"/>
      <c r="R100" s="136">
        <v>0.94</v>
      </c>
      <c r="S100" s="137"/>
      <c r="T100" s="137"/>
      <c r="U100" s="137"/>
      <c r="V100" s="170"/>
      <c r="W100" s="170"/>
      <c r="X100" s="137">
        <f t="shared" si="6"/>
        <v>0.94</v>
      </c>
      <c r="Y100" s="136">
        <f>1.3*0.5</f>
        <v>0.65</v>
      </c>
      <c r="Z100" s="138" t="str">
        <f t="shared" si="7"/>
        <v>F</v>
      </c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</row>
    <row r="101" spans="1:39" s="139" customFormat="1">
      <c r="A101" s="140">
        <v>172</v>
      </c>
      <c r="B101" s="136" t="s">
        <v>302</v>
      </c>
      <c r="C101" s="136">
        <v>2010</v>
      </c>
      <c r="D101" s="136" t="s">
        <v>303</v>
      </c>
      <c r="E101" s="142" t="s">
        <v>305</v>
      </c>
      <c r="F101" s="143">
        <v>40219</v>
      </c>
      <c r="G101" s="136" t="s">
        <v>306</v>
      </c>
      <c r="H101" s="136" t="s">
        <v>39</v>
      </c>
      <c r="I101" s="136"/>
      <c r="J101" s="136" t="s">
        <v>704</v>
      </c>
      <c r="K101" s="136" t="s">
        <v>614</v>
      </c>
      <c r="L101" s="136" t="s">
        <v>309</v>
      </c>
      <c r="M101" s="151" t="s">
        <v>93</v>
      </c>
      <c r="N101" s="151" t="s">
        <v>310</v>
      </c>
      <c r="O101" s="136"/>
      <c r="P101" s="145"/>
      <c r="Q101" s="145"/>
      <c r="R101" s="136"/>
      <c r="S101" s="136"/>
      <c r="T101" s="136"/>
      <c r="U101" s="145">
        <v>0.93899999999999995</v>
      </c>
      <c r="V101" s="146"/>
      <c r="W101" s="146"/>
      <c r="X101" s="137">
        <f t="shared" si="6"/>
        <v>0.93899999999999995</v>
      </c>
      <c r="Y101" s="146">
        <v>0.51200000000000001</v>
      </c>
      <c r="Z101" s="138" t="str">
        <f t="shared" si="7"/>
        <v>F</v>
      </c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</row>
    <row r="102" spans="1:39" s="139" customFormat="1">
      <c r="A102" s="140">
        <v>172</v>
      </c>
      <c r="B102" s="136" t="s">
        <v>302</v>
      </c>
      <c r="C102" s="136">
        <v>2010</v>
      </c>
      <c r="D102" s="136" t="s">
        <v>303</v>
      </c>
      <c r="E102" s="142" t="s">
        <v>305</v>
      </c>
      <c r="F102" s="143">
        <v>40221</v>
      </c>
      <c r="G102" s="136" t="s">
        <v>311</v>
      </c>
      <c r="H102" s="136" t="s">
        <v>39</v>
      </c>
      <c r="I102" s="136"/>
      <c r="J102" s="136" t="s">
        <v>704</v>
      </c>
      <c r="K102" s="136" t="s">
        <v>712</v>
      </c>
      <c r="L102" s="136" t="s">
        <v>315</v>
      </c>
      <c r="M102" s="151" t="s">
        <v>316</v>
      </c>
      <c r="N102" s="151" t="s">
        <v>317</v>
      </c>
      <c r="O102" s="136"/>
      <c r="P102" s="145"/>
      <c r="Q102" s="145"/>
      <c r="R102" s="136"/>
      <c r="S102" s="136"/>
      <c r="T102" s="136"/>
      <c r="U102" s="145">
        <v>0.93899999999999995</v>
      </c>
      <c r="V102" s="146"/>
      <c r="W102" s="146"/>
      <c r="X102" s="137">
        <f t="shared" si="6"/>
        <v>0.93899999999999995</v>
      </c>
      <c r="Y102" s="146">
        <v>0.52200000000000002</v>
      </c>
      <c r="Z102" s="138" t="str">
        <f t="shared" si="7"/>
        <v>F</v>
      </c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</row>
    <row r="103" spans="1:39" s="139" customFormat="1">
      <c r="A103" s="140">
        <v>173</v>
      </c>
      <c r="B103" s="136" t="s">
        <v>302</v>
      </c>
      <c r="C103" s="136">
        <v>2011</v>
      </c>
      <c r="D103" s="141" t="s">
        <v>352</v>
      </c>
      <c r="E103" s="142" t="s">
        <v>354</v>
      </c>
      <c r="F103" s="143" t="s">
        <v>378</v>
      </c>
      <c r="G103" s="136" t="s">
        <v>311</v>
      </c>
      <c r="H103" s="136" t="s">
        <v>39</v>
      </c>
      <c r="I103" s="136"/>
      <c r="J103" s="136" t="s">
        <v>704</v>
      </c>
      <c r="K103" s="136" t="s">
        <v>712</v>
      </c>
      <c r="L103" s="136" t="s">
        <v>376</v>
      </c>
      <c r="M103" s="144"/>
      <c r="N103" s="144"/>
      <c r="O103" s="136" t="s">
        <v>379</v>
      </c>
      <c r="P103" s="145"/>
      <c r="Q103" s="145"/>
      <c r="R103" s="136"/>
      <c r="S103" s="136"/>
      <c r="T103" s="136"/>
      <c r="U103" s="146">
        <v>0.93799999999999994</v>
      </c>
      <c r="V103" s="136"/>
      <c r="W103" s="136"/>
      <c r="X103" s="137">
        <f t="shared" si="6"/>
        <v>0.93799999999999994</v>
      </c>
      <c r="Y103" s="136">
        <v>1.1299999999999999</v>
      </c>
      <c r="Z103" s="138" t="str">
        <f t="shared" si="7"/>
        <v>F</v>
      </c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</row>
    <row r="104" spans="1:39" s="139" customFormat="1">
      <c r="A104" s="140">
        <v>174</v>
      </c>
      <c r="B104" s="136" t="s">
        <v>407</v>
      </c>
      <c r="C104" s="136">
        <v>2009</v>
      </c>
      <c r="D104" s="141" t="s">
        <v>408</v>
      </c>
      <c r="E104" s="142" t="s">
        <v>16</v>
      </c>
      <c r="F104" s="143" t="s">
        <v>410</v>
      </c>
      <c r="G104" s="136" t="s">
        <v>454</v>
      </c>
      <c r="H104" s="136" t="s">
        <v>455</v>
      </c>
      <c r="I104" s="136"/>
      <c r="J104" s="136" t="s">
        <v>704</v>
      </c>
      <c r="K104" s="136" t="s">
        <v>664</v>
      </c>
      <c r="L104" s="136" t="s">
        <v>462</v>
      </c>
      <c r="M104" s="144"/>
      <c r="N104" s="144"/>
      <c r="O104" s="136" t="s">
        <v>463</v>
      </c>
      <c r="P104" s="145"/>
      <c r="Q104" s="145"/>
      <c r="R104" s="136"/>
      <c r="S104" s="136"/>
      <c r="T104" s="136"/>
      <c r="U104" s="146">
        <v>0.93500000000000005</v>
      </c>
      <c r="V104" s="136"/>
      <c r="W104" s="136"/>
      <c r="X104" s="137">
        <f t="shared" si="6"/>
        <v>0.93500000000000005</v>
      </c>
      <c r="Y104" s="147">
        <v>0.8</v>
      </c>
      <c r="Z104" s="138" t="str">
        <f t="shared" si="7"/>
        <v>F</v>
      </c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</row>
    <row r="105" spans="1:39" s="139" customFormat="1">
      <c r="A105" s="140">
        <v>173</v>
      </c>
      <c r="B105" s="136" t="s">
        <v>302</v>
      </c>
      <c r="C105" s="136">
        <v>2011</v>
      </c>
      <c r="D105" s="141" t="s">
        <v>352</v>
      </c>
      <c r="E105" s="142" t="s">
        <v>354</v>
      </c>
      <c r="F105" s="143" t="s">
        <v>382</v>
      </c>
      <c r="G105" s="136" t="s">
        <v>383</v>
      </c>
      <c r="H105" s="136" t="s">
        <v>39</v>
      </c>
      <c r="I105" s="136"/>
      <c r="J105" s="136" t="s">
        <v>704</v>
      </c>
      <c r="K105" s="136" t="s">
        <v>612</v>
      </c>
      <c r="L105" s="136" t="s">
        <v>384</v>
      </c>
      <c r="M105" s="144"/>
      <c r="N105" s="144"/>
      <c r="O105" s="136" t="s">
        <v>385</v>
      </c>
      <c r="P105" s="145"/>
      <c r="Q105" s="145"/>
      <c r="R105" s="136"/>
      <c r="S105" s="136"/>
      <c r="T105" s="136"/>
      <c r="U105" s="146">
        <v>0.93300000000000005</v>
      </c>
      <c r="V105" s="136"/>
      <c r="W105" s="136"/>
      <c r="X105" s="137">
        <f t="shared" si="6"/>
        <v>0.93300000000000005</v>
      </c>
      <c r="Y105" s="136">
        <v>1.76</v>
      </c>
      <c r="Z105" s="138" t="str">
        <f t="shared" si="7"/>
        <v>F</v>
      </c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</row>
    <row r="106" spans="1:39" s="139" customFormat="1">
      <c r="A106" s="140">
        <v>182</v>
      </c>
      <c r="B106" s="169" t="s">
        <v>466</v>
      </c>
      <c r="C106" s="136">
        <v>2010</v>
      </c>
      <c r="D106" s="168" t="s">
        <v>467</v>
      </c>
      <c r="E106" s="142" t="s">
        <v>16</v>
      </c>
      <c r="F106" s="136">
        <v>2008</v>
      </c>
      <c r="G106" s="136" t="s">
        <v>469</v>
      </c>
      <c r="H106" s="136" t="s">
        <v>470</v>
      </c>
      <c r="I106" s="136"/>
      <c r="J106" s="136" t="s">
        <v>704</v>
      </c>
      <c r="K106" s="136" t="s">
        <v>691</v>
      </c>
      <c r="L106" s="136" t="s">
        <v>586</v>
      </c>
      <c r="M106" s="136"/>
      <c r="N106" s="136"/>
      <c r="O106" s="136" t="s">
        <v>476</v>
      </c>
      <c r="P106" s="136"/>
      <c r="Q106" s="136"/>
      <c r="R106" s="136">
        <v>0.93</v>
      </c>
      <c r="S106" s="137"/>
      <c r="T106" s="137"/>
      <c r="U106" s="137"/>
      <c r="V106" s="170"/>
      <c r="W106" s="170"/>
      <c r="X106" s="137">
        <f t="shared" si="6"/>
        <v>0.93</v>
      </c>
      <c r="Y106" s="136">
        <f>7.7*0.52</f>
        <v>4.0040000000000004</v>
      </c>
      <c r="Z106" s="138" t="str">
        <f t="shared" si="7"/>
        <v>F</v>
      </c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</row>
    <row r="107" spans="1:39" s="139" customFormat="1">
      <c r="A107" s="140">
        <v>182</v>
      </c>
      <c r="B107" s="169" t="s">
        <v>466</v>
      </c>
      <c r="C107" s="136">
        <v>2010</v>
      </c>
      <c r="D107" s="168" t="s">
        <v>467</v>
      </c>
      <c r="E107" s="142" t="s">
        <v>16</v>
      </c>
      <c r="F107" s="136">
        <v>2008</v>
      </c>
      <c r="G107" s="136" t="s">
        <v>469</v>
      </c>
      <c r="H107" s="136" t="s">
        <v>470</v>
      </c>
      <c r="I107" s="136"/>
      <c r="J107" s="136" t="s">
        <v>704</v>
      </c>
      <c r="K107" s="136" t="s">
        <v>686</v>
      </c>
      <c r="L107" s="136" t="s">
        <v>581</v>
      </c>
      <c r="M107" s="136"/>
      <c r="N107" s="136"/>
      <c r="O107" s="136" t="s">
        <v>473</v>
      </c>
      <c r="P107" s="136"/>
      <c r="Q107" s="136"/>
      <c r="R107" s="136">
        <v>0.92</v>
      </c>
      <c r="S107" s="137"/>
      <c r="T107" s="137"/>
      <c r="U107" s="137"/>
      <c r="V107" s="170"/>
      <c r="W107" s="170"/>
      <c r="X107" s="137">
        <f t="shared" si="6"/>
        <v>0.92</v>
      </c>
      <c r="Y107" s="136">
        <f>3.7*0.52</f>
        <v>1.9240000000000002</v>
      </c>
      <c r="Z107" s="138" t="str">
        <f t="shared" si="7"/>
        <v>F</v>
      </c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</row>
    <row r="108" spans="1:39" s="139" customFormat="1">
      <c r="A108" s="140">
        <v>182</v>
      </c>
      <c r="B108" s="169" t="s">
        <v>466</v>
      </c>
      <c r="C108" s="136">
        <v>2010</v>
      </c>
      <c r="D108" s="168" t="s">
        <v>467</v>
      </c>
      <c r="E108" s="142" t="s">
        <v>16</v>
      </c>
      <c r="F108" s="136">
        <v>2008</v>
      </c>
      <c r="G108" s="136" t="s">
        <v>469</v>
      </c>
      <c r="H108" s="136" t="s">
        <v>470</v>
      </c>
      <c r="I108" s="136"/>
      <c r="J108" s="136" t="s">
        <v>704</v>
      </c>
      <c r="K108" s="136" t="s">
        <v>690</v>
      </c>
      <c r="L108" s="136" t="s">
        <v>585</v>
      </c>
      <c r="M108" s="136"/>
      <c r="N108" s="136"/>
      <c r="O108" s="136" t="s">
        <v>481</v>
      </c>
      <c r="P108" s="136"/>
      <c r="Q108" s="136"/>
      <c r="R108" s="136">
        <v>0.92</v>
      </c>
      <c r="S108" s="137"/>
      <c r="T108" s="137"/>
      <c r="U108" s="137"/>
      <c r="V108" s="170"/>
      <c r="W108" s="170"/>
      <c r="X108" s="137">
        <f t="shared" si="6"/>
        <v>0.92</v>
      </c>
      <c r="Y108" s="136">
        <f>6.8*0.47</f>
        <v>3.1959999999999997</v>
      </c>
      <c r="Z108" s="138" t="str">
        <f t="shared" si="7"/>
        <v>F</v>
      </c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</row>
    <row r="109" spans="1:39" s="139" customFormat="1">
      <c r="A109" s="140">
        <v>182</v>
      </c>
      <c r="B109" s="169" t="s">
        <v>466</v>
      </c>
      <c r="C109" s="136">
        <v>2010</v>
      </c>
      <c r="D109" s="168" t="s">
        <v>467</v>
      </c>
      <c r="E109" s="142" t="s">
        <v>16</v>
      </c>
      <c r="F109" s="136">
        <v>2008</v>
      </c>
      <c r="G109" s="136" t="s">
        <v>469</v>
      </c>
      <c r="H109" s="136" t="s">
        <v>470</v>
      </c>
      <c r="I109" s="136"/>
      <c r="J109" s="136" t="s">
        <v>704</v>
      </c>
      <c r="K109" s="136" t="s">
        <v>693</v>
      </c>
      <c r="L109" s="136" t="s">
        <v>588</v>
      </c>
      <c r="M109" s="136"/>
      <c r="N109" s="136"/>
      <c r="O109" s="136" t="s">
        <v>482</v>
      </c>
      <c r="P109" s="136"/>
      <c r="Q109" s="136"/>
      <c r="R109" s="136">
        <v>0.92</v>
      </c>
      <c r="S109" s="137"/>
      <c r="T109" s="137"/>
      <c r="U109" s="137"/>
      <c r="V109" s="170"/>
      <c r="W109" s="170"/>
      <c r="X109" s="137">
        <f t="shared" si="6"/>
        <v>0.92</v>
      </c>
      <c r="Y109" s="136">
        <f>5.6*0.5</f>
        <v>2.8</v>
      </c>
      <c r="Z109" s="138" t="str">
        <f t="shared" si="7"/>
        <v>F</v>
      </c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</row>
    <row r="110" spans="1:39" s="139" customFormat="1">
      <c r="A110" s="140">
        <v>174</v>
      </c>
      <c r="B110" s="136" t="s">
        <v>407</v>
      </c>
      <c r="C110" s="136">
        <v>2009</v>
      </c>
      <c r="D110" s="141" t="s">
        <v>408</v>
      </c>
      <c r="E110" s="142" t="s">
        <v>16</v>
      </c>
      <c r="F110" s="143" t="s">
        <v>410</v>
      </c>
      <c r="G110" s="136" t="s">
        <v>427</v>
      </c>
      <c r="H110" s="136" t="s">
        <v>39</v>
      </c>
      <c r="I110" s="136"/>
      <c r="J110" s="136" t="s">
        <v>704</v>
      </c>
      <c r="K110" s="136" t="s">
        <v>614</v>
      </c>
      <c r="L110" s="136" t="s">
        <v>92</v>
      </c>
      <c r="M110" s="144"/>
      <c r="N110" s="144"/>
      <c r="O110" s="136" t="s">
        <v>92</v>
      </c>
      <c r="P110" s="145"/>
      <c r="Q110" s="145"/>
      <c r="R110" s="136"/>
      <c r="S110" s="136"/>
      <c r="T110" s="136"/>
      <c r="U110" s="146">
        <v>0.91400000000000003</v>
      </c>
      <c r="V110" s="136"/>
      <c r="W110" s="136"/>
      <c r="X110" s="137">
        <f t="shared" si="6"/>
        <v>0.91400000000000003</v>
      </c>
      <c r="Y110" s="147">
        <v>1.2</v>
      </c>
      <c r="Z110" s="138" t="str">
        <f t="shared" si="7"/>
        <v>F</v>
      </c>
      <c r="AA110" s="137"/>
      <c r="AB110" s="137"/>
      <c r="AC110" s="137"/>
      <c r="AD110" s="137"/>
      <c r="AE110" s="137"/>
      <c r="AF110" s="137"/>
      <c r="AG110" s="137"/>
      <c r="AH110" s="137"/>
      <c r="AI110" s="137"/>
      <c r="AJ110" s="137"/>
      <c r="AK110" s="137"/>
      <c r="AL110" s="137"/>
      <c r="AM110" s="137"/>
    </row>
    <row r="111" spans="1:39" s="139" customFormat="1">
      <c r="A111" s="140">
        <v>174</v>
      </c>
      <c r="B111" s="136" t="s">
        <v>407</v>
      </c>
      <c r="C111" s="136">
        <v>2009</v>
      </c>
      <c r="D111" s="141" t="s">
        <v>408</v>
      </c>
      <c r="E111" s="142" t="s">
        <v>16</v>
      </c>
      <c r="F111" s="143" t="s">
        <v>410</v>
      </c>
      <c r="G111" s="136" t="s">
        <v>427</v>
      </c>
      <c r="H111" s="136" t="s">
        <v>39</v>
      </c>
      <c r="I111" s="136"/>
      <c r="J111" s="136" t="s">
        <v>704</v>
      </c>
      <c r="K111" s="136" t="s">
        <v>725</v>
      </c>
      <c r="L111" s="136" t="s">
        <v>449</v>
      </c>
      <c r="M111" s="144"/>
      <c r="N111" s="144"/>
      <c r="O111" s="136" t="s">
        <v>91</v>
      </c>
      <c r="P111" s="145"/>
      <c r="Q111" s="145"/>
      <c r="R111" s="136"/>
      <c r="S111" s="136"/>
      <c r="T111" s="136"/>
      <c r="U111" s="146">
        <v>0.91300000000000003</v>
      </c>
      <c r="V111" s="136"/>
      <c r="W111" s="136"/>
      <c r="X111" s="137">
        <f t="shared" si="6"/>
        <v>0.91300000000000003</v>
      </c>
      <c r="Y111" s="147">
        <v>1.4</v>
      </c>
      <c r="Z111" s="138" t="str">
        <f t="shared" si="7"/>
        <v>F</v>
      </c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</row>
    <row r="112" spans="1:39" s="139" customFormat="1">
      <c r="A112" s="140">
        <v>182</v>
      </c>
      <c r="B112" s="169" t="s">
        <v>466</v>
      </c>
      <c r="C112" s="136">
        <v>2010</v>
      </c>
      <c r="D112" s="168" t="s">
        <v>467</v>
      </c>
      <c r="E112" s="142" t="s">
        <v>16</v>
      </c>
      <c r="F112" s="136">
        <v>2008</v>
      </c>
      <c r="G112" s="136" t="s">
        <v>469</v>
      </c>
      <c r="H112" s="136" t="s">
        <v>470</v>
      </c>
      <c r="I112" s="136"/>
      <c r="J112" s="136" t="s">
        <v>704</v>
      </c>
      <c r="K112" s="136" t="s">
        <v>679</v>
      </c>
      <c r="L112" s="136" t="s">
        <v>584</v>
      </c>
      <c r="M112" s="136"/>
      <c r="N112" s="136"/>
      <c r="O112" s="136" t="s">
        <v>478</v>
      </c>
      <c r="P112" s="136"/>
      <c r="Q112" s="136"/>
      <c r="R112" s="136">
        <v>0.91</v>
      </c>
      <c r="S112" s="137"/>
      <c r="T112" s="137"/>
      <c r="U112" s="137"/>
      <c r="V112" s="170"/>
      <c r="W112" s="170"/>
      <c r="X112" s="137">
        <f t="shared" si="6"/>
        <v>0.91</v>
      </c>
      <c r="Y112" s="136">
        <f>4*0.49</f>
        <v>1.96</v>
      </c>
      <c r="Z112" s="138" t="str">
        <f t="shared" si="7"/>
        <v>F</v>
      </c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</row>
    <row r="113" spans="1:39" s="139" customFormat="1">
      <c r="A113" s="140">
        <v>174</v>
      </c>
      <c r="B113" s="136" t="s">
        <v>407</v>
      </c>
      <c r="C113" s="136">
        <v>2009</v>
      </c>
      <c r="D113" s="141" t="s">
        <v>408</v>
      </c>
      <c r="E113" s="142" t="s">
        <v>16</v>
      </c>
      <c r="F113" s="143" t="s">
        <v>410</v>
      </c>
      <c r="G113" s="136" t="s">
        <v>427</v>
      </c>
      <c r="H113" s="136" t="s">
        <v>39</v>
      </c>
      <c r="I113" s="136"/>
      <c r="J113" s="136" t="s">
        <v>704</v>
      </c>
      <c r="K113" s="136" t="s">
        <v>612</v>
      </c>
      <c r="L113" s="136" t="s">
        <v>444</v>
      </c>
      <c r="M113" s="144"/>
      <c r="N113" s="144"/>
      <c r="O113" s="136" t="s">
        <v>51</v>
      </c>
      <c r="P113" s="145"/>
      <c r="Q113" s="145"/>
      <c r="R113" s="136"/>
      <c r="S113" s="136"/>
      <c r="T113" s="136"/>
      <c r="U113" s="146">
        <v>0.90900000000000003</v>
      </c>
      <c r="V113" s="136"/>
      <c r="W113" s="136"/>
      <c r="X113" s="137">
        <f t="shared" si="6"/>
        <v>0.90900000000000003</v>
      </c>
      <c r="Y113" s="147">
        <v>1.5</v>
      </c>
      <c r="Z113" s="138" t="str">
        <f t="shared" si="7"/>
        <v>F</v>
      </c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</row>
    <row r="114" spans="1:39" s="139" customFormat="1">
      <c r="A114" s="140">
        <v>174</v>
      </c>
      <c r="B114" s="136" t="s">
        <v>407</v>
      </c>
      <c r="C114" s="136">
        <v>2009</v>
      </c>
      <c r="D114" s="141" t="s">
        <v>408</v>
      </c>
      <c r="E114" s="142" t="s">
        <v>16</v>
      </c>
      <c r="F114" s="143" t="s">
        <v>410</v>
      </c>
      <c r="G114" s="136"/>
      <c r="H114" s="136"/>
      <c r="I114" s="136"/>
      <c r="J114" s="136" t="s">
        <v>704</v>
      </c>
      <c r="K114" s="136" t="s">
        <v>744</v>
      </c>
      <c r="L114" s="136" t="s">
        <v>431</v>
      </c>
      <c r="M114" s="144"/>
      <c r="N114" s="144"/>
      <c r="O114" s="136" t="s">
        <v>432</v>
      </c>
      <c r="P114" s="145"/>
      <c r="Q114" s="145"/>
      <c r="R114" s="136"/>
      <c r="S114" s="136"/>
      <c r="T114" s="136"/>
      <c r="U114" s="146">
        <v>0.90500000000000003</v>
      </c>
      <c r="V114" s="136"/>
      <c r="W114" s="136"/>
      <c r="X114" s="137">
        <f t="shared" si="6"/>
        <v>0.90500000000000003</v>
      </c>
      <c r="Y114" s="147">
        <v>2.7</v>
      </c>
      <c r="Z114" s="138" t="str">
        <f t="shared" si="7"/>
        <v>F</v>
      </c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</row>
    <row r="115" spans="1:39" s="139" customFormat="1">
      <c r="A115" s="140">
        <v>173</v>
      </c>
      <c r="B115" s="136" t="s">
        <v>302</v>
      </c>
      <c r="C115" s="136">
        <v>2011</v>
      </c>
      <c r="D115" s="141" t="s">
        <v>352</v>
      </c>
      <c r="E115" s="142" t="s">
        <v>354</v>
      </c>
      <c r="F115" s="143" t="s">
        <v>378</v>
      </c>
      <c r="G115" s="136" t="s">
        <v>311</v>
      </c>
      <c r="H115" s="136" t="s">
        <v>39</v>
      </c>
      <c r="I115" s="136"/>
      <c r="J115" s="136" t="s">
        <v>704</v>
      </c>
      <c r="K115" s="136" t="s">
        <v>612</v>
      </c>
      <c r="L115" s="136" t="s">
        <v>380</v>
      </c>
      <c r="M115" s="144"/>
      <c r="N115" s="144"/>
      <c r="O115" s="136" t="s">
        <v>381</v>
      </c>
      <c r="P115" s="145"/>
      <c r="Q115" s="145"/>
      <c r="R115" s="136"/>
      <c r="S115" s="136"/>
      <c r="T115" s="136"/>
      <c r="U115" s="146">
        <v>0.90300000000000002</v>
      </c>
      <c r="V115" s="136"/>
      <c r="W115" s="136"/>
      <c r="X115" s="137">
        <f t="shared" si="6"/>
        <v>0.90300000000000002</v>
      </c>
      <c r="Y115" s="136">
        <v>4.24</v>
      </c>
      <c r="Z115" s="138" t="str">
        <f t="shared" si="7"/>
        <v>F</v>
      </c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</row>
    <row r="116" spans="1:39" s="139" customFormat="1">
      <c r="A116" s="140">
        <v>174</v>
      </c>
      <c r="B116" s="136" t="s">
        <v>407</v>
      </c>
      <c r="C116" s="136">
        <v>2009</v>
      </c>
      <c r="D116" s="141" t="s">
        <v>408</v>
      </c>
      <c r="E116" s="142" t="s">
        <v>16</v>
      </c>
      <c r="F116" s="143" t="s">
        <v>410</v>
      </c>
      <c r="G116" s="136" t="s">
        <v>427</v>
      </c>
      <c r="H116" s="136" t="s">
        <v>39</v>
      </c>
      <c r="I116" s="136"/>
      <c r="J116" s="136" t="s">
        <v>704</v>
      </c>
      <c r="K116" s="136" t="s">
        <v>679</v>
      </c>
      <c r="L116" s="136" t="s">
        <v>94</v>
      </c>
      <c r="M116" s="144"/>
      <c r="N116" s="144"/>
      <c r="O116" s="136" t="s">
        <v>94</v>
      </c>
      <c r="P116" s="145"/>
      <c r="Q116" s="145"/>
      <c r="R116" s="136"/>
      <c r="S116" s="136"/>
      <c r="T116" s="136"/>
      <c r="U116" s="146">
        <v>0.89900000000000002</v>
      </c>
      <c r="V116" s="136"/>
      <c r="W116" s="136"/>
      <c r="X116" s="137">
        <f t="shared" si="6"/>
        <v>0.89900000000000002</v>
      </c>
      <c r="Y116" s="147">
        <v>2</v>
      </c>
      <c r="Z116" s="138" t="str">
        <f t="shared" si="7"/>
        <v>S</v>
      </c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</row>
    <row r="117" spans="1:39" s="139" customFormat="1">
      <c r="A117" s="140">
        <v>174</v>
      </c>
      <c r="B117" s="136" t="s">
        <v>407</v>
      </c>
      <c r="C117" s="136">
        <v>2009</v>
      </c>
      <c r="D117" s="141" t="s">
        <v>408</v>
      </c>
      <c r="E117" s="142" t="s">
        <v>16</v>
      </c>
      <c r="F117" s="143" t="s">
        <v>410</v>
      </c>
      <c r="G117" s="136" t="s">
        <v>423</v>
      </c>
      <c r="H117" s="136" t="s">
        <v>49</v>
      </c>
      <c r="I117" s="136"/>
      <c r="J117" s="136" t="s">
        <v>704</v>
      </c>
      <c r="K117" s="136" t="s">
        <v>741</v>
      </c>
      <c r="L117" s="136" t="s">
        <v>52</v>
      </c>
      <c r="M117" s="144"/>
      <c r="N117" s="144"/>
      <c r="O117" s="136" t="s">
        <v>52</v>
      </c>
      <c r="P117" s="145"/>
      <c r="Q117" s="145"/>
      <c r="R117" s="136"/>
      <c r="S117" s="136"/>
      <c r="T117" s="136"/>
      <c r="U117" s="146">
        <v>0.88900000000000001</v>
      </c>
      <c r="V117" s="136"/>
      <c r="W117" s="136"/>
      <c r="X117" s="137">
        <f t="shared" si="6"/>
        <v>0.88900000000000001</v>
      </c>
      <c r="Y117" s="147">
        <v>4</v>
      </c>
      <c r="Z117" s="138" t="str">
        <f t="shared" si="7"/>
        <v>S</v>
      </c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</row>
    <row r="118" spans="1:39" s="139" customFormat="1">
      <c r="A118" s="140">
        <v>182</v>
      </c>
      <c r="B118" s="169" t="s">
        <v>466</v>
      </c>
      <c r="C118" s="136">
        <v>2010</v>
      </c>
      <c r="D118" s="168" t="s">
        <v>467</v>
      </c>
      <c r="E118" s="142" t="s">
        <v>16</v>
      </c>
      <c r="F118" s="136">
        <v>2008</v>
      </c>
      <c r="G118" s="136" t="s">
        <v>469</v>
      </c>
      <c r="H118" s="136" t="s">
        <v>470</v>
      </c>
      <c r="I118" s="136"/>
      <c r="J118" s="136" t="s">
        <v>704</v>
      </c>
      <c r="K118" s="136" t="s">
        <v>755</v>
      </c>
      <c r="L118" s="136" t="s">
        <v>580</v>
      </c>
      <c r="M118" s="136"/>
      <c r="N118" s="136"/>
      <c r="O118" s="136" t="s">
        <v>474</v>
      </c>
      <c r="P118" s="136"/>
      <c r="Q118" s="136"/>
      <c r="R118" s="136">
        <v>0.86</v>
      </c>
      <c r="S118" s="137"/>
      <c r="T118" s="137"/>
      <c r="U118" s="137"/>
      <c r="V118" s="170"/>
      <c r="W118" s="170"/>
      <c r="X118" s="137">
        <f t="shared" si="6"/>
        <v>0.86</v>
      </c>
      <c r="Y118" s="136">
        <f>11.5*0.03</f>
        <v>0.34499999999999997</v>
      </c>
      <c r="Z118" s="138" t="str">
        <f t="shared" si="7"/>
        <v>S</v>
      </c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</row>
    <row r="127" spans="1:39">
      <c r="A127" s="110">
        <v>193</v>
      </c>
      <c r="B127" s="112" t="s">
        <v>501</v>
      </c>
      <c r="C127" s="111">
        <v>2001</v>
      </c>
      <c r="D127" s="112" t="s">
        <v>502</v>
      </c>
      <c r="E127" s="113" t="s">
        <v>503</v>
      </c>
      <c r="F127" s="114">
        <v>2001</v>
      </c>
      <c r="G127" s="114"/>
      <c r="H127" s="114"/>
      <c r="I127" s="114"/>
      <c r="J127" s="114"/>
      <c r="K127" s="114"/>
      <c r="L127" s="114" t="s">
        <v>120</v>
      </c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>
        <v>1.3</v>
      </c>
    </row>
    <row r="128" spans="1:39">
      <c r="A128" s="110">
        <v>193</v>
      </c>
      <c r="B128" s="112" t="s">
        <v>501</v>
      </c>
      <c r="C128" s="111">
        <v>2001</v>
      </c>
      <c r="D128" s="112" t="s">
        <v>502</v>
      </c>
      <c r="E128" s="113" t="s">
        <v>503</v>
      </c>
      <c r="F128" s="114">
        <v>2001</v>
      </c>
      <c r="G128" s="114"/>
      <c r="H128" s="114"/>
      <c r="I128" s="114"/>
      <c r="J128" s="114"/>
      <c r="K128" s="114"/>
      <c r="L128" s="114" t="s">
        <v>506</v>
      </c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>
        <v>1.3</v>
      </c>
    </row>
    <row r="129" spans="1:25">
      <c r="A129" s="110">
        <v>193</v>
      </c>
      <c r="B129" s="112" t="s">
        <v>501</v>
      </c>
      <c r="C129" s="111">
        <v>2001</v>
      </c>
      <c r="D129" s="112" t="s">
        <v>502</v>
      </c>
      <c r="E129" s="113" t="s">
        <v>503</v>
      </c>
      <c r="F129" s="114">
        <v>2001</v>
      </c>
      <c r="G129" s="114"/>
      <c r="H129" s="114"/>
      <c r="I129" s="114"/>
      <c r="J129" s="114"/>
      <c r="K129" s="114"/>
      <c r="L129" s="114" t="s">
        <v>505</v>
      </c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>
        <v>1.3</v>
      </c>
    </row>
    <row r="130" spans="1:25">
      <c r="A130" s="110">
        <v>193</v>
      </c>
      <c r="B130" s="114" t="s">
        <v>501</v>
      </c>
      <c r="C130" s="114">
        <v>2001</v>
      </c>
      <c r="D130" s="114" t="s">
        <v>502</v>
      </c>
      <c r="E130" s="113" t="s">
        <v>503</v>
      </c>
      <c r="F130" s="114">
        <v>2001</v>
      </c>
      <c r="G130" s="114"/>
      <c r="H130" s="114"/>
      <c r="I130" s="114"/>
      <c r="J130" s="114"/>
      <c r="K130" s="114"/>
      <c r="L130" s="114" t="s">
        <v>508</v>
      </c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>
        <v>0.09</v>
      </c>
    </row>
    <row r="131" spans="1:25">
      <c r="A131" s="110">
        <v>193</v>
      </c>
      <c r="B131" s="112" t="s">
        <v>501</v>
      </c>
      <c r="C131" s="111">
        <v>2001</v>
      </c>
      <c r="D131" s="112" t="s">
        <v>502</v>
      </c>
      <c r="E131" s="113" t="s">
        <v>503</v>
      </c>
      <c r="F131" s="114">
        <v>2001</v>
      </c>
      <c r="G131" s="114"/>
      <c r="H131" s="114"/>
      <c r="I131" s="114"/>
      <c r="J131" s="114"/>
      <c r="K131" s="114"/>
      <c r="L131" s="114" t="s">
        <v>504</v>
      </c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>
        <v>1.4</v>
      </c>
    </row>
    <row r="132" spans="1:25">
      <c r="A132" s="110">
        <v>193</v>
      </c>
      <c r="B132" s="112" t="s">
        <v>501</v>
      </c>
      <c r="C132" s="111">
        <v>2001</v>
      </c>
      <c r="D132" s="112" t="s">
        <v>502</v>
      </c>
      <c r="E132" s="113" t="s">
        <v>503</v>
      </c>
      <c r="F132" s="114">
        <v>2001</v>
      </c>
      <c r="G132" s="114"/>
      <c r="H132" s="114"/>
      <c r="I132" s="114"/>
      <c r="J132" s="114"/>
      <c r="K132" s="114"/>
      <c r="L132" s="114" t="s">
        <v>507</v>
      </c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114">
        <v>0.6</v>
      </c>
    </row>
    <row r="133" spans="1:25">
      <c r="A133" s="110">
        <v>193</v>
      </c>
      <c r="B133" s="112" t="s">
        <v>501</v>
      </c>
      <c r="C133" s="111">
        <v>2001</v>
      </c>
      <c r="D133" s="112" t="s">
        <v>502</v>
      </c>
      <c r="E133" s="113" t="s">
        <v>503</v>
      </c>
      <c r="F133" s="114">
        <v>2001</v>
      </c>
      <c r="G133" s="114"/>
      <c r="H133" s="114"/>
      <c r="I133" s="114"/>
      <c r="J133" s="114"/>
      <c r="K133" s="114"/>
      <c r="L133" s="114" t="s">
        <v>119</v>
      </c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>
        <v>1.3</v>
      </c>
    </row>
    <row r="135" spans="1:25">
      <c r="A135" s="134" t="s">
        <v>534</v>
      </c>
    </row>
    <row r="136" spans="1:25">
      <c r="A136" s="110">
        <v>112</v>
      </c>
      <c r="B136" s="120" t="s">
        <v>122</v>
      </c>
      <c r="C136" s="120">
        <v>1996</v>
      </c>
      <c r="D136" s="120" t="s">
        <v>123</v>
      </c>
      <c r="E136" s="113" t="s">
        <v>16</v>
      </c>
      <c r="F136" s="114">
        <v>1996</v>
      </c>
      <c r="G136" s="114" t="s">
        <v>125</v>
      </c>
      <c r="H136" s="114" t="s">
        <v>49</v>
      </c>
      <c r="I136" s="114"/>
      <c r="J136" s="114" t="s">
        <v>706</v>
      </c>
      <c r="K136" s="114" t="s">
        <v>656</v>
      </c>
      <c r="L136" s="114" t="s">
        <v>37</v>
      </c>
      <c r="M136" s="114" t="s">
        <v>126</v>
      </c>
      <c r="N136" s="114"/>
      <c r="O136" s="114" t="s">
        <v>127</v>
      </c>
      <c r="P136" s="114"/>
      <c r="Q136" s="114"/>
      <c r="R136" s="114"/>
      <c r="S136" s="114">
        <v>0.99</v>
      </c>
      <c r="T136" s="114">
        <v>0.83499999999999996</v>
      </c>
      <c r="U136" s="114">
        <v>0.95599999999999996</v>
      </c>
      <c r="V136" s="114" t="s">
        <v>130</v>
      </c>
      <c r="W136" s="114" t="s">
        <v>131</v>
      </c>
      <c r="X136" s="114"/>
      <c r="Y136" s="114" t="s">
        <v>132</v>
      </c>
    </row>
    <row r="137" spans="1:25">
      <c r="A137" s="110">
        <v>112</v>
      </c>
      <c r="B137" s="120" t="s">
        <v>122</v>
      </c>
      <c r="C137" s="120">
        <v>1996</v>
      </c>
      <c r="D137" s="120" t="s">
        <v>123</v>
      </c>
      <c r="E137" s="113" t="s">
        <v>16</v>
      </c>
      <c r="F137" s="114">
        <v>1996</v>
      </c>
      <c r="G137" s="114" t="s">
        <v>125</v>
      </c>
      <c r="H137" s="114" t="s">
        <v>49</v>
      </c>
      <c r="I137" s="114"/>
      <c r="J137" s="114" t="s">
        <v>706</v>
      </c>
      <c r="K137" s="114" t="s">
        <v>656</v>
      </c>
      <c r="L137" s="114" t="s">
        <v>37</v>
      </c>
      <c r="M137" s="114" t="s">
        <v>126</v>
      </c>
      <c r="N137" s="114"/>
      <c r="O137" s="114" t="s">
        <v>138</v>
      </c>
      <c r="P137" s="114"/>
      <c r="Q137" s="114"/>
      <c r="R137" s="114"/>
      <c r="S137" s="114">
        <v>0.99</v>
      </c>
      <c r="T137" s="114">
        <v>0.82299999999999995</v>
      </c>
      <c r="U137" s="114">
        <v>0.96</v>
      </c>
      <c r="V137" s="114" t="s">
        <v>129</v>
      </c>
      <c r="W137" s="114" t="s">
        <v>139</v>
      </c>
      <c r="X137" s="114"/>
      <c r="Y137" s="114" t="s">
        <v>140</v>
      </c>
    </row>
    <row r="138" spans="1:25">
      <c r="A138" s="110">
        <v>112</v>
      </c>
      <c r="B138" s="120" t="s">
        <v>122</v>
      </c>
      <c r="C138" s="120">
        <v>1996</v>
      </c>
      <c r="D138" s="120" t="s">
        <v>123</v>
      </c>
      <c r="E138" s="113" t="s">
        <v>16</v>
      </c>
      <c r="F138" s="114">
        <v>1996</v>
      </c>
      <c r="G138" s="114" t="s">
        <v>125</v>
      </c>
      <c r="H138" s="114" t="s">
        <v>49</v>
      </c>
      <c r="I138" s="114"/>
      <c r="J138" s="114" t="s">
        <v>709</v>
      </c>
      <c r="K138" s="114" t="s">
        <v>670</v>
      </c>
      <c r="L138" s="114" t="s">
        <v>147</v>
      </c>
      <c r="M138" s="114" t="s">
        <v>126</v>
      </c>
      <c r="N138" s="114"/>
      <c r="O138" s="114" t="s">
        <v>148</v>
      </c>
      <c r="P138" s="114"/>
      <c r="Q138" s="114"/>
      <c r="R138" s="114"/>
      <c r="S138" s="114">
        <v>0.98899999999999999</v>
      </c>
      <c r="T138" s="114">
        <v>0.874</v>
      </c>
      <c r="U138" s="114">
        <v>0.96099999999999997</v>
      </c>
      <c r="V138" s="114" t="s">
        <v>151</v>
      </c>
      <c r="W138" s="114" t="s">
        <v>133</v>
      </c>
      <c r="X138" s="114"/>
      <c r="Y138" s="114" t="s">
        <v>152</v>
      </c>
    </row>
    <row r="139" spans="1:25">
      <c r="A139" s="110">
        <v>112</v>
      </c>
      <c r="B139" s="120" t="s">
        <v>122</v>
      </c>
      <c r="C139" s="120">
        <v>1996</v>
      </c>
      <c r="D139" s="120" t="s">
        <v>123</v>
      </c>
      <c r="E139" s="113" t="s">
        <v>16</v>
      </c>
      <c r="F139" s="114">
        <v>1996</v>
      </c>
      <c r="G139" s="114" t="s">
        <v>125</v>
      </c>
      <c r="H139" s="114" t="s">
        <v>49</v>
      </c>
      <c r="I139" s="114"/>
      <c r="J139" s="114" t="s">
        <v>704</v>
      </c>
      <c r="K139" s="114" t="s">
        <v>741</v>
      </c>
      <c r="L139" s="114" t="s">
        <v>167</v>
      </c>
      <c r="M139" s="114" t="s">
        <v>168</v>
      </c>
      <c r="N139" s="114"/>
      <c r="O139" s="114" t="s">
        <v>191</v>
      </c>
      <c r="P139" s="114"/>
      <c r="Q139" s="114"/>
      <c r="R139" s="114"/>
      <c r="S139" s="114">
        <v>0.98199999999999998</v>
      </c>
      <c r="T139" s="114">
        <v>0.86199999999999999</v>
      </c>
      <c r="U139" s="114">
        <v>0.96899999999999997</v>
      </c>
      <c r="V139" s="114" t="s">
        <v>192</v>
      </c>
      <c r="W139" s="114" t="s">
        <v>193</v>
      </c>
      <c r="X139" s="114"/>
      <c r="Y139" s="114" t="s">
        <v>194</v>
      </c>
    </row>
    <row r="140" spans="1:25">
      <c r="A140" s="110">
        <v>112</v>
      </c>
      <c r="B140" s="120" t="s">
        <v>122</v>
      </c>
      <c r="C140" s="120">
        <v>1996</v>
      </c>
      <c r="D140" s="120" t="s">
        <v>123</v>
      </c>
      <c r="E140" s="113" t="s">
        <v>16</v>
      </c>
      <c r="F140" s="114">
        <v>1996</v>
      </c>
      <c r="G140" s="114" t="s">
        <v>125</v>
      </c>
      <c r="H140" s="114" t="s">
        <v>49</v>
      </c>
      <c r="I140" s="114"/>
      <c r="J140" s="114" t="s">
        <v>704</v>
      </c>
      <c r="K140" s="114" t="s">
        <v>741</v>
      </c>
      <c r="L140" s="114" t="s">
        <v>167</v>
      </c>
      <c r="M140" s="114" t="s">
        <v>168</v>
      </c>
      <c r="N140" s="114"/>
      <c r="O140" s="114" t="s">
        <v>169</v>
      </c>
      <c r="P140" s="114"/>
      <c r="Q140" s="114"/>
      <c r="R140" s="114"/>
      <c r="S140" s="114">
        <v>0.97799999999999998</v>
      </c>
      <c r="T140" s="114">
        <v>0.879</v>
      </c>
      <c r="U140" s="114">
        <v>0.96</v>
      </c>
      <c r="V140" s="114" t="s">
        <v>171</v>
      </c>
      <c r="W140" s="114" t="s">
        <v>172</v>
      </c>
      <c r="X140" s="114"/>
      <c r="Y140" s="114" t="s">
        <v>173</v>
      </c>
    </row>
    <row r="141" spans="1:25">
      <c r="A141" s="110">
        <v>112</v>
      </c>
      <c r="B141" s="120" t="s">
        <v>122</v>
      </c>
      <c r="C141" s="120">
        <v>1996</v>
      </c>
      <c r="D141" s="120" t="s">
        <v>123</v>
      </c>
      <c r="E141" s="113" t="s">
        <v>16</v>
      </c>
      <c r="F141" s="114">
        <v>1996</v>
      </c>
      <c r="G141" s="114" t="s">
        <v>125</v>
      </c>
      <c r="H141" s="114" t="s">
        <v>49</v>
      </c>
      <c r="I141" s="114"/>
      <c r="J141" s="114" t="s">
        <v>706</v>
      </c>
      <c r="K141" s="114" t="s">
        <v>745</v>
      </c>
      <c r="L141" s="114" t="s">
        <v>187</v>
      </c>
      <c r="M141" s="114" t="s">
        <v>602</v>
      </c>
      <c r="N141" s="114"/>
      <c r="O141" s="114" t="s">
        <v>188</v>
      </c>
      <c r="P141" s="114"/>
      <c r="Q141" s="114"/>
      <c r="R141" s="114"/>
      <c r="S141" s="114"/>
      <c r="T141" s="114"/>
      <c r="U141" s="114">
        <v>0.91</v>
      </c>
      <c r="V141" s="114"/>
      <c r="W141" s="114"/>
      <c r="X141" s="114"/>
      <c r="Y141" s="114" t="s">
        <v>189</v>
      </c>
    </row>
    <row r="142" spans="1:25">
      <c r="A142" s="110">
        <v>112</v>
      </c>
      <c r="B142" s="120" t="s">
        <v>122</v>
      </c>
      <c r="C142" s="120">
        <v>1996</v>
      </c>
      <c r="D142" s="120" t="s">
        <v>123</v>
      </c>
      <c r="E142" s="113" t="s">
        <v>16</v>
      </c>
      <c r="F142" s="114">
        <v>1996</v>
      </c>
      <c r="G142" s="114" t="s">
        <v>125</v>
      </c>
      <c r="H142" s="114" t="s">
        <v>49</v>
      </c>
      <c r="I142" s="114"/>
      <c r="J142" s="114" t="s">
        <v>709</v>
      </c>
      <c r="K142" s="114" t="s">
        <v>745</v>
      </c>
      <c r="L142" s="114" t="s">
        <v>184</v>
      </c>
      <c r="M142" s="114" t="s">
        <v>602</v>
      </c>
      <c r="N142" s="114"/>
      <c r="O142" s="114" t="s">
        <v>185</v>
      </c>
      <c r="P142" s="114"/>
      <c r="Q142" s="114"/>
      <c r="R142" s="114"/>
      <c r="S142" s="114"/>
      <c r="T142" s="114"/>
      <c r="U142" s="114">
        <v>0.94199999999999995</v>
      </c>
      <c r="V142" s="114"/>
      <c r="W142" s="114"/>
      <c r="X142" s="114"/>
      <c r="Y142" s="114" t="s">
        <v>181</v>
      </c>
    </row>
    <row r="143" spans="1:25">
      <c r="A143" s="110">
        <v>112</v>
      </c>
      <c r="B143" s="120" t="s">
        <v>122</v>
      </c>
      <c r="C143" s="120">
        <v>1996</v>
      </c>
      <c r="D143" s="120" t="s">
        <v>123</v>
      </c>
      <c r="E143" s="113" t="s">
        <v>16</v>
      </c>
      <c r="F143" s="114">
        <v>1996</v>
      </c>
      <c r="G143" s="114" t="s">
        <v>125</v>
      </c>
      <c r="H143" s="114" t="s">
        <v>49</v>
      </c>
      <c r="I143" s="114"/>
      <c r="J143" s="114" t="s">
        <v>709</v>
      </c>
      <c r="K143" s="114" t="s">
        <v>758</v>
      </c>
      <c r="L143" s="114" t="s">
        <v>179</v>
      </c>
      <c r="M143" s="114" t="s">
        <v>126</v>
      </c>
      <c r="N143" s="114"/>
      <c r="O143" s="114" t="s">
        <v>180</v>
      </c>
      <c r="P143" s="114"/>
      <c r="Q143" s="114"/>
      <c r="R143" s="114"/>
      <c r="S143" s="114"/>
      <c r="T143" s="114"/>
      <c r="U143" s="114">
        <v>0.88900000000000001</v>
      </c>
      <c r="V143" s="114"/>
      <c r="W143" s="114"/>
      <c r="X143" s="114"/>
      <c r="Y143" s="114" t="s">
        <v>182</v>
      </c>
    </row>
    <row r="145" spans="1:25">
      <c r="A145" s="134" t="s">
        <v>797</v>
      </c>
    </row>
    <row r="146" spans="1:25">
      <c r="A146" s="110">
        <v>80</v>
      </c>
      <c r="B146" s="114" t="s">
        <v>38</v>
      </c>
      <c r="C146" s="128">
        <v>1991</v>
      </c>
      <c r="D146" s="117" t="s">
        <v>71</v>
      </c>
      <c r="E146" s="113" t="s">
        <v>73</v>
      </c>
      <c r="F146" s="114">
        <v>1987</v>
      </c>
      <c r="G146" s="114" t="s">
        <v>74</v>
      </c>
      <c r="H146" s="114" t="s">
        <v>39</v>
      </c>
      <c r="I146" s="114"/>
      <c r="J146" s="114" t="s">
        <v>704</v>
      </c>
      <c r="K146" s="114" t="s">
        <v>614</v>
      </c>
      <c r="L146" s="114" t="s">
        <v>58</v>
      </c>
      <c r="M146" s="114"/>
      <c r="N146" s="114"/>
      <c r="O146" s="114" t="s">
        <v>43</v>
      </c>
      <c r="P146" s="114"/>
      <c r="Q146" s="114"/>
      <c r="R146" s="114"/>
      <c r="S146" s="114"/>
      <c r="T146" s="114"/>
      <c r="U146" s="114"/>
      <c r="V146" s="114"/>
      <c r="W146" s="114"/>
      <c r="X146" s="114"/>
      <c r="Y146" s="114">
        <v>0.09</v>
      </c>
    </row>
    <row r="147" spans="1:25">
      <c r="A147" s="110">
        <v>80</v>
      </c>
      <c r="B147" s="114" t="s">
        <v>38</v>
      </c>
      <c r="C147" s="128">
        <v>1991</v>
      </c>
      <c r="D147" s="117" t="s">
        <v>71</v>
      </c>
      <c r="E147" s="113" t="s">
        <v>73</v>
      </c>
      <c r="F147" s="114">
        <v>1986</v>
      </c>
      <c r="G147" s="114" t="s">
        <v>74</v>
      </c>
      <c r="H147" s="114" t="s">
        <v>39</v>
      </c>
      <c r="I147" s="114"/>
      <c r="J147" s="114" t="s">
        <v>704</v>
      </c>
      <c r="K147" s="114" t="s">
        <v>614</v>
      </c>
      <c r="L147" s="114" t="s">
        <v>58</v>
      </c>
      <c r="M147" s="114"/>
      <c r="N147" s="114"/>
      <c r="O147" s="114" t="s">
        <v>75</v>
      </c>
      <c r="P147" s="114"/>
      <c r="Q147" s="114"/>
      <c r="R147" s="114"/>
      <c r="S147" s="114"/>
      <c r="T147" s="114"/>
      <c r="U147" s="114"/>
      <c r="V147" s="114"/>
      <c r="W147" s="114"/>
      <c r="X147" s="114"/>
      <c r="Y147" s="114">
        <v>1.7</v>
      </c>
    </row>
    <row r="148" spans="1:25">
      <c r="A148" s="110">
        <v>80</v>
      </c>
      <c r="B148" s="114" t="s">
        <v>38</v>
      </c>
      <c r="C148" s="128">
        <v>1991</v>
      </c>
      <c r="D148" s="117" t="s">
        <v>71</v>
      </c>
      <c r="E148" s="113" t="s">
        <v>73</v>
      </c>
      <c r="F148" s="114">
        <v>1987</v>
      </c>
      <c r="G148" s="114" t="s">
        <v>65</v>
      </c>
      <c r="H148" s="114" t="s">
        <v>550</v>
      </c>
      <c r="I148" s="114"/>
      <c r="J148" s="114" t="s">
        <v>673</v>
      </c>
      <c r="K148" s="114" t="s">
        <v>673</v>
      </c>
      <c r="L148" s="114" t="s">
        <v>80</v>
      </c>
      <c r="M148" s="114"/>
      <c r="N148" s="114"/>
      <c r="O148" s="114" t="s">
        <v>45</v>
      </c>
      <c r="P148" s="114"/>
      <c r="Q148" s="114"/>
      <c r="R148" s="114"/>
      <c r="S148" s="114"/>
      <c r="T148" s="114"/>
      <c r="U148" s="114"/>
      <c r="V148" s="114"/>
      <c r="W148" s="114"/>
      <c r="X148" s="114"/>
      <c r="Y148" s="114">
        <v>0.1</v>
      </c>
    </row>
    <row r="149" spans="1:25">
      <c r="A149" s="110">
        <v>80</v>
      </c>
      <c r="B149" s="114" t="s">
        <v>38</v>
      </c>
      <c r="C149" s="128">
        <v>1991</v>
      </c>
      <c r="D149" s="117" t="s">
        <v>71</v>
      </c>
      <c r="E149" s="113" t="s">
        <v>76</v>
      </c>
      <c r="F149" s="114">
        <v>1987</v>
      </c>
      <c r="G149" s="114" t="s">
        <v>79</v>
      </c>
      <c r="H149" s="114" t="s">
        <v>29</v>
      </c>
      <c r="I149" s="114"/>
      <c r="J149" s="114" t="s">
        <v>706</v>
      </c>
      <c r="K149" s="114" t="s">
        <v>659</v>
      </c>
      <c r="L149" s="114" t="s">
        <v>47</v>
      </c>
      <c r="M149" s="114"/>
      <c r="N149" s="114"/>
      <c r="O149" s="114" t="s">
        <v>48</v>
      </c>
      <c r="P149" s="114"/>
      <c r="Q149" s="114"/>
      <c r="R149" s="114"/>
      <c r="S149" s="114"/>
      <c r="T149" s="114"/>
      <c r="U149" s="114"/>
      <c r="V149" s="114"/>
      <c r="W149" s="114"/>
      <c r="X149" s="114"/>
      <c r="Y149" s="114">
        <v>0.6</v>
      </c>
    </row>
    <row r="150" spans="1:25">
      <c r="A150" s="110">
        <v>80</v>
      </c>
      <c r="B150" s="114" t="s">
        <v>38</v>
      </c>
      <c r="C150" s="128">
        <v>1991</v>
      </c>
      <c r="D150" s="117" t="s">
        <v>71</v>
      </c>
      <c r="E150" s="113" t="s">
        <v>76</v>
      </c>
      <c r="F150" s="114">
        <v>1987</v>
      </c>
      <c r="G150" s="114" t="s">
        <v>77</v>
      </c>
      <c r="H150" s="114" t="s">
        <v>29</v>
      </c>
      <c r="I150" s="114"/>
      <c r="J150" s="114" t="s">
        <v>706</v>
      </c>
      <c r="K150" s="114" t="s">
        <v>659</v>
      </c>
      <c r="L150" s="114" t="s">
        <v>78</v>
      </c>
      <c r="M150" s="114"/>
      <c r="N150" s="114"/>
      <c r="O150" s="114" t="s">
        <v>62</v>
      </c>
      <c r="P150" s="114"/>
      <c r="Q150" s="114"/>
      <c r="R150" s="114"/>
      <c r="S150" s="114"/>
      <c r="T150" s="114"/>
      <c r="U150" s="114"/>
      <c r="V150" s="114"/>
      <c r="W150" s="114"/>
      <c r="X150" s="114"/>
      <c r="Y150" s="114">
        <v>2</v>
      </c>
    </row>
    <row r="151" spans="1:25">
      <c r="A151" s="110">
        <v>88</v>
      </c>
      <c r="B151" s="112" t="s">
        <v>95</v>
      </c>
      <c r="C151" s="111">
        <v>1992</v>
      </c>
      <c r="D151" s="112" t="s">
        <v>96</v>
      </c>
      <c r="E151" s="113" t="s">
        <v>76</v>
      </c>
      <c r="F151" s="114">
        <v>1990</v>
      </c>
      <c r="G151" s="114" t="s">
        <v>115</v>
      </c>
      <c r="H151" s="114" t="s">
        <v>116</v>
      </c>
      <c r="I151" s="114"/>
      <c r="J151" s="114" t="s">
        <v>710</v>
      </c>
      <c r="K151" s="155" t="s">
        <v>676</v>
      </c>
      <c r="L151" s="114" t="s">
        <v>117</v>
      </c>
      <c r="M151" s="114"/>
      <c r="N151" s="114"/>
      <c r="O151" s="114" t="s">
        <v>118</v>
      </c>
      <c r="P151" s="114"/>
      <c r="Q151" s="114"/>
      <c r="R151" s="114"/>
      <c r="S151" s="114"/>
      <c r="T151" s="114"/>
      <c r="U151" s="114"/>
      <c r="V151" s="114"/>
      <c r="W151" s="114"/>
      <c r="X151" s="114"/>
      <c r="Y151" s="114">
        <v>0.69</v>
      </c>
    </row>
    <row r="152" spans="1:25">
      <c r="A152" s="110">
        <v>88</v>
      </c>
      <c r="B152" s="112" t="s">
        <v>95</v>
      </c>
      <c r="C152" s="111">
        <v>1992</v>
      </c>
      <c r="D152" s="112" t="s">
        <v>96</v>
      </c>
      <c r="E152" s="113" t="s">
        <v>73</v>
      </c>
      <c r="F152" s="114">
        <v>1989</v>
      </c>
      <c r="G152" s="114" t="s">
        <v>88</v>
      </c>
      <c r="H152" s="114" t="s">
        <v>113</v>
      </c>
      <c r="I152" s="114"/>
      <c r="J152" s="114" t="s">
        <v>715</v>
      </c>
      <c r="K152" s="114" t="s">
        <v>715</v>
      </c>
      <c r="L152" s="114" t="s">
        <v>114</v>
      </c>
      <c r="M152" s="114"/>
      <c r="N152" s="114"/>
      <c r="O152" s="114" t="s">
        <v>90</v>
      </c>
      <c r="P152" s="114"/>
      <c r="Q152" s="114"/>
      <c r="R152" s="114"/>
      <c r="S152" s="114"/>
      <c r="T152" s="114"/>
      <c r="U152" s="114"/>
      <c r="V152" s="114"/>
      <c r="W152" s="114"/>
      <c r="X152" s="114"/>
      <c r="Y152" s="114">
        <v>0.45</v>
      </c>
    </row>
    <row r="153" spans="1:25">
      <c r="A153" s="110">
        <v>88</v>
      </c>
      <c r="B153" s="112" t="s">
        <v>95</v>
      </c>
      <c r="C153" s="111">
        <v>1992</v>
      </c>
      <c r="D153" s="112" t="s">
        <v>96</v>
      </c>
      <c r="E153" s="113" t="s">
        <v>73</v>
      </c>
      <c r="F153" s="114">
        <v>1987</v>
      </c>
      <c r="G153" s="114" t="s">
        <v>74</v>
      </c>
      <c r="H153" s="114" t="s">
        <v>39</v>
      </c>
      <c r="I153" s="114"/>
      <c r="J153" s="114" t="s">
        <v>704</v>
      </c>
      <c r="K153" s="114" t="s">
        <v>614</v>
      </c>
      <c r="L153" s="114" t="s">
        <v>99</v>
      </c>
      <c r="M153" s="114"/>
      <c r="N153" s="114"/>
      <c r="O153" s="114" t="s">
        <v>101</v>
      </c>
      <c r="P153" s="114"/>
      <c r="Q153" s="114"/>
      <c r="R153" s="114"/>
      <c r="S153" s="114"/>
      <c r="T153" s="114"/>
      <c r="U153" s="114"/>
      <c r="V153" s="114"/>
      <c r="W153" s="114"/>
      <c r="X153" s="114"/>
      <c r="Y153" s="114">
        <v>0.06</v>
      </c>
    </row>
    <row r="154" spans="1:25">
      <c r="A154" s="110">
        <v>88</v>
      </c>
      <c r="B154" s="112" t="s">
        <v>95</v>
      </c>
      <c r="C154" s="111">
        <v>1992</v>
      </c>
      <c r="D154" s="112" t="s">
        <v>96</v>
      </c>
      <c r="E154" s="113" t="s">
        <v>73</v>
      </c>
      <c r="F154" s="114">
        <v>1987</v>
      </c>
      <c r="G154" s="114" t="s">
        <v>106</v>
      </c>
      <c r="H154" s="114" t="s">
        <v>49</v>
      </c>
      <c r="I154" s="114"/>
      <c r="J154" s="114" t="s">
        <v>706</v>
      </c>
      <c r="K154" s="114" t="s">
        <v>659</v>
      </c>
      <c r="L154" s="114" t="s">
        <v>107</v>
      </c>
      <c r="M154" s="114"/>
      <c r="N154" s="114"/>
      <c r="O154" s="114" t="s">
        <v>50</v>
      </c>
      <c r="P154" s="114"/>
      <c r="Q154" s="114"/>
      <c r="R154" s="114"/>
      <c r="S154" s="114"/>
      <c r="T154" s="114"/>
      <c r="U154" s="114"/>
      <c r="V154" s="114"/>
      <c r="W154" s="114"/>
      <c r="X154" s="114"/>
      <c r="Y154" s="114">
        <v>0.56999999999999995</v>
      </c>
    </row>
    <row r="155" spans="1:25">
      <c r="A155" s="110">
        <v>88</v>
      </c>
      <c r="B155" s="112" t="s">
        <v>95</v>
      </c>
      <c r="C155" s="111">
        <v>1992</v>
      </c>
      <c r="D155" s="112" t="s">
        <v>96</v>
      </c>
      <c r="E155" s="113" t="s">
        <v>73</v>
      </c>
      <c r="F155" s="114">
        <v>1987</v>
      </c>
      <c r="G155" s="114" t="s">
        <v>65</v>
      </c>
      <c r="H155" s="114" t="s">
        <v>550</v>
      </c>
      <c r="I155" s="114"/>
      <c r="J155" s="114" t="s">
        <v>673</v>
      </c>
      <c r="K155" s="114" t="s">
        <v>673</v>
      </c>
      <c r="L155" s="114" t="s">
        <v>102</v>
      </c>
      <c r="M155" s="114"/>
      <c r="N155" s="114"/>
      <c r="O155" s="114" t="s">
        <v>45</v>
      </c>
      <c r="P155" s="114"/>
      <c r="Q155" s="114"/>
      <c r="R155" s="114"/>
      <c r="S155" s="114"/>
      <c r="T155" s="114"/>
      <c r="U155" s="114"/>
      <c r="V155" s="114"/>
      <c r="W155" s="114"/>
      <c r="X155" s="114"/>
      <c r="Y155" s="114">
        <v>0.26</v>
      </c>
    </row>
    <row r="156" spans="1:25">
      <c r="A156" s="110">
        <v>88</v>
      </c>
      <c r="B156" s="112" t="s">
        <v>95</v>
      </c>
      <c r="C156" s="111">
        <v>1992</v>
      </c>
      <c r="D156" s="112" t="s">
        <v>96</v>
      </c>
      <c r="E156" s="113" t="s">
        <v>73</v>
      </c>
      <c r="F156" s="114">
        <v>1988</v>
      </c>
      <c r="G156" s="114" t="s">
        <v>69</v>
      </c>
      <c r="H156" s="114" t="s">
        <v>550</v>
      </c>
      <c r="I156" s="114"/>
      <c r="J156" s="114" t="s">
        <v>710</v>
      </c>
      <c r="K156" s="114" t="s">
        <v>671</v>
      </c>
      <c r="L156" s="114" t="s">
        <v>108</v>
      </c>
      <c r="M156" s="114"/>
      <c r="N156" s="114"/>
      <c r="O156" s="114" t="s">
        <v>70</v>
      </c>
      <c r="P156" s="114"/>
      <c r="Q156" s="114"/>
      <c r="R156" s="114"/>
      <c r="S156" s="114"/>
      <c r="T156" s="114"/>
      <c r="U156" s="114"/>
      <c r="V156" s="114"/>
      <c r="W156" s="114"/>
      <c r="X156" s="114"/>
      <c r="Y156" s="114">
        <v>0.37</v>
      </c>
    </row>
    <row r="157" spans="1:25">
      <c r="A157" s="110">
        <v>88</v>
      </c>
      <c r="B157" s="112" t="s">
        <v>95</v>
      </c>
      <c r="C157" s="111">
        <v>1992</v>
      </c>
      <c r="D157" s="112" t="s">
        <v>96</v>
      </c>
      <c r="E157" s="113" t="s">
        <v>73</v>
      </c>
      <c r="F157" s="114">
        <v>1988</v>
      </c>
      <c r="G157" s="114" t="s">
        <v>69</v>
      </c>
      <c r="H157" s="114" t="s">
        <v>550</v>
      </c>
      <c r="I157" s="114"/>
      <c r="J157" s="114" t="s">
        <v>710</v>
      </c>
      <c r="K157" s="114" t="s">
        <v>671</v>
      </c>
      <c r="L157" s="114" t="s">
        <v>108</v>
      </c>
      <c r="M157" s="114"/>
      <c r="N157" s="114"/>
      <c r="O157" s="114" t="s">
        <v>109</v>
      </c>
      <c r="P157" s="114"/>
      <c r="Q157" s="114"/>
      <c r="R157" s="114"/>
      <c r="S157" s="114"/>
      <c r="T157" s="114"/>
      <c r="U157" s="114"/>
      <c r="V157" s="114"/>
      <c r="W157" s="114"/>
      <c r="X157" s="114"/>
      <c r="Y157" s="114">
        <v>0.94</v>
      </c>
    </row>
    <row r="158" spans="1:25">
      <c r="A158" s="110">
        <v>88</v>
      </c>
      <c r="B158" s="112" t="s">
        <v>95</v>
      </c>
      <c r="C158" s="111">
        <v>1992</v>
      </c>
      <c r="D158" s="112" t="s">
        <v>96</v>
      </c>
      <c r="E158" s="113" t="s">
        <v>76</v>
      </c>
      <c r="F158" s="114">
        <v>1987</v>
      </c>
      <c r="G158" s="114" t="s">
        <v>79</v>
      </c>
      <c r="H158" s="114" t="s">
        <v>29</v>
      </c>
      <c r="I158" s="114"/>
      <c r="J158" s="114" t="s">
        <v>706</v>
      </c>
      <c r="K158" s="114" t="s">
        <v>659</v>
      </c>
      <c r="L158" s="114" t="s">
        <v>105</v>
      </c>
      <c r="M158" s="114"/>
      <c r="N158" s="114"/>
      <c r="O158" s="114" t="s">
        <v>48</v>
      </c>
      <c r="P158" s="114"/>
      <c r="Q158" s="114"/>
      <c r="R158" s="114"/>
      <c r="S158" s="114"/>
      <c r="T158" s="114"/>
      <c r="U158" s="114"/>
      <c r="V158" s="114"/>
      <c r="W158" s="114"/>
      <c r="X158" s="114"/>
      <c r="Y158" s="114">
        <v>0.13</v>
      </c>
    </row>
    <row r="159" spans="1:25">
      <c r="A159" s="110">
        <v>88</v>
      </c>
      <c r="B159" s="112" t="s">
        <v>95</v>
      </c>
      <c r="C159" s="111">
        <v>1992</v>
      </c>
      <c r="D159" s="112" t="s">
        <v>96</v>
      </c>
      <c r="E159" s="113" t="s">
        <v>76</v>
      </c>
      <c r="F159" s="114">
        <v>1987</v>
      </c>
      <c r="G159" s="114" t="s">
        <v>77</v>
      </c>
      <c r="H159" s="114" t="s">
        <v>29</v>
      </c>
      <c r="I159" s="114"/>
      <c r="J159" s="114" t="s">
        <v>706</v>
      </c>
      <c r="K159" s="114" t="s">
        <v>659</v>
      </c>
      <c r="L159" s="114" t="s">
        <v>103</v>
      </c>
      <c r="M159" s="114"/>
      <c r="N159" s="114"/>
      <c r="O159" s="114" t="s">
        <v>104</v>
      </c>
      <c r="P159" s="114"/>
      <c r="Q159" s="114"/>
      <c r="R159" s="114"/>
      <c r="S159" s="114"/>
      <c r="T159" s="114"/>
      <c r="U159" s="114"/>
      <c r="V159" s="114"/>
      <c r="W159" s="114"/>
      <c r="X159" s="114"/>
      <c r="Y159" s="114">
        <v>0.7</v>
      </c>
    </row>
    <row r="160" spans="1:25">
      <c r="A160" s="110">
        <v>139</v>
      </c>
      <c r="B160" s="115" t="s">
        <v>38</v>
      </c>
      <c r="C160" s="115">
        <v>1990</v>
      </c>
      <c r="D160" s="122" t="s">
        <v>262</v>
      </c>
      <c r="E160" s="113" t="s">
        <v>56</v>
      </c>
      <c r="F160" s="118">
        <v>31950</v>
      </c>
      <c r="G160" s="127" t="s">
        <v>265</v>
      </c>
      <c r="H160" s="127" t="s">
        <v>39</v>
      </c>
      <c r="I160" s="127"/>
      <c r="J160" s="114" t="s">
        <v>704</v>
      </c>
      <c r="K160" s="114" t="s">
        <v>614</v>
      </c>
      <c r="L160" s="119" t="s">
        <v>42</v>
      </c>
      <c r="M160" s="119"/>
      <c r="N160" s="119"/>
      <c r="O160" s="119" t="s">
        <v>267</v>
      </c>
      <c r="P160" s="119"/>
      <c r="Q160" s="119"/>
      <c r="R160" s="114"/>
      <c r="S160" s="114"/>
      <c r="T160" s="114"/>
      <c r="U160" s="129"/>
      <c r="V160" s="119"/>
      <c r="W160" s="119"/>
      <c r="X160" s="119"/>
      <c r="Y160" s="119">
        <v>0.09</v>
      </c>
    </row>
    <row r="161" spans="1:39">
      <c r="A161" s="110">
        <v>139</v>
      </c>
      <c r="B161" s="115" t="s">
        <v>38</v>
      </c>
      <c r="C161" s="115">
        <v>1990</v>
      </c>
      <c r="D161" s="122" t="s">
        <v>262</v>
      </c>
      <c r="E161" s="113" t="s">
        <v>56</v>
      </c>
      <c r="F161" s="116">
        <v>31758</v>
      </c>
      <c r="G161" s="114" t="s">
        <v>265</v>
      </c>
      <c r="H161" s="114" t="s">
        <v>39</v>
      </c>
      <c r="I161" s="114"/>
      <c r="J161" s="114" t="s">
        <v>704</v>
      </c>
      <c r="K161" s="114" t="s">
        <v>614</v>
      </c>
      <c r="L161" s="114" t="s">
        <v>42</v>
      </c>
      <c r="M161" s="114"/>
      <c r="N161" s="114"/>
      <c r="O161" s="114" t="s">
        <v>266</v>
      </c>
      <c r="P161" s="114"/>
      <c r="Q161" s="114"/>
      <c r="R161" s="114"/>
      <c r="S161" s="114"/>
      <c r="T161" s="114"/>
      <c r="U161" s="114"/>
      <c r="V161" s="114"/>
      <c r="W161" s="114"/>
      <c r="X161" s="114"/>
      <c r="Y161" s="114">
        <v>1.7</v>
      </c>
    </row>
    <row r="162" spans="1:39">
      <c r="A162" s="110">
        <v>139</v>
      </c>
      <c r="B162" s="115" t="s">
        <v>38</v>
      </c>
      <c r="C162" s="115">
        <v>1990</v>
      </c>
      <c r="D162" s="122" t="s">
        <v>262</v>
      </c>
      <c r="E162" s="113" t="s">
        <v>56</v>
      </c>
      <c r="F162" s="116">
        <v>32017</v>
      </c>
      <c r="G162" s="114" t="s">
        <v>65</v>
      </c>
      <c r="H162" s="114" t="s">
        <v>44</v>
      </c>
      <c r="I162" s="114"/>
      <c r="J162" s="114" t="s">
        <v>673</v>
      </c>
      <c r="K162" s="114" t="s">
        <v>722</v>
      </c>
      <c r="L162" s="114" t="s">
        <v>268</v>
      </c>
      <c r="M162" s="114"/>
      <c r="N162" s="114"/>
      <c r="O162" s="114" t="s">
        <v>269</v>
      </c>
      <c r="P162" s="114"/>
      <c r="Q162" s="114"/>
      <c r="R162" s="114"/>
      <c r="S162" s="114"/>
      <c r="T162" s="114"/>
      <c r="U162" s="114"/>
      <c r="V162" s="114"/>
      <c r="W162" s="114"/>
      <c r="X162" s="114"/>
      <c r="Y162" s="114">
        <v>0.1</v>
      </c>
    </row>
    <row r="163" spans="1:39">
      <c r="A163" s="110">
        <v>139</v>
      </c>
      <c r="B163" s="115" t="s">
        <v>38</v>
      </c>
      <c r="C163" s="115">
        <v>1990</v>
      </c>
      <c r="D163" s="122" t="s">
        <v>262</v>
      </c>
      <c r="E163" s="113" t="s">
        <v>56</v>
      </c>
      <c r="F163" s="114" t="s">
        <v>273</v>
      </c>
      <c r="G163" s="114" t="s">
        <v>79</v>
      </c>
      <c r="H163" s="114" t="s">
        <v>29</v>
      </c>
      <c r="I163" s="114"/>
      <c r="J163" s="114" t="s">
        <v>706</v>
      </c>
      <c r="K163" s="114" t="s">
        <v>659</v>
      </c>
      <c r="L163" s="114" t="s">
        <v>605</v>
      </c>
      <c r="M163" s="114"/>
      <c r="N163" s="114"/>
      <c r="O163" s="114" t="s">
        <v>274</v>
      </c>
      <c r="P163" s="114"/>
      <c r="Q163" s="114"/>
      <c r="R163" s="114"/>
      <c r="S163" s="114"/>
      <c r="T163" s="114"/>
      <c r="U163" s="114"/>
      <c r="V163" s="114"/>
      <c r="W163" s="114"/>
      <c r="X163" s="114"/>
      <c r="Y163" s="114">
        <v>0.6</v>
      </c>
    </row>
    <row r="164" spans="1:39">
      <c r="A164" s="110">
        <v>139</v>
      </c>
      <c r="B164" s="115" t="s">
        <v>38</v>
      </c>
      <c r="C164" s="115">
        <v>1990</v>
      </c>
      <c r="D164" s="122" t="s">
        <v>262</v>
      </c>
      <c r="E164" s="113" t="s">
        <v>56</v>
      </c>
      <c r="F164" s="116">
        <v>32022</v>
      </c>
      <c r="G164" s="114" t="s">
        <v>270</v>
      </c>
      <c r="H164" s="114" t="s">
        <v>29</v>
      </c>
      <c r="I164" s="114"/>
      <c r="J164" s="114" t="s">
        <v>706</v>
      </c>
      <c r="K164" s="114" t="s">
        <v>659</v>
      </c>
      <c r="L164" s="114" t="s">
        <v>271</v>
      </c>
      <c r="M164" s="114"/>
      <c r="N164" s="114"/>
      <c r="O164" s="114" t="s">
        <v>272</v>
      </c>
      <c r="P164" s="114"/>
      <c r="Q164" s="114"/>
      <c r="R164" s="114"/>
      <c r="S164" s="114"/>
      <c r="T164" s="114"/>
      <c r="U164" s="114"/>
      <c r="V164" s="114"/>
      <c r="W164" s="114"/>
      <c r="X164" s="114"/>
      <c r="Y164" s="126">
        <v>2</v>
      </c>
    </row>
    <row r="165" spans="1:39">
      <c r="A165" s="114" t="s">
        <v>821</v>
      </c>
      <c r="B165" s="115"/>
      <c r="C165" s="115"/>
      <c r="D165" s="122"/>
      <c r="E165" s="113"/>
      <c r="F165" s="116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26"/>
    </row>
    <row r="166" spans="1:39">
      <c r="A166" s="110">
        <v>63</v>
      </c>
      <c r="B166" s="120" t="s">
        <v>53</v>
      </c>
      <c r="C166" s="120">
        <v>1989</v>
      </c>
      <c r="D166" s="120" t="s">
        <v>54</v>
      </c>
      <c r="E166" s="117" t="s">
        <v>56</v>
      </c>
      <c r="F166" s="118">
        <v>32017</v>
      </c>
      <c r="G166" s="114" t="s">
        <v>65</v>
      </c>
      <c r="H166" s="114" t="s">
        <v>803</v>
      </c>
      <c r="I166" s="114"/>
      <c r="J166" s="114" t="s">
        <v>704</v>
      </c>
      <c r="K166" s="114" t="s">
        <v>712</v>
      </c>
      <c r="L166" s="119" t="s">
        <v>66</v>
      </c>
      <c r="M166" s="119"/>
      <c r="N166" s="119"/>
      <c r="O166" s="119" t="s">
        <v>45</v>
      </c>
      <c r="P166" s="119"/>
      <c r="Q166" s="119"/>
      <c r="R166" s="114"/>
      <c r="S166" s="114"/>
      <c r="T166" s="114"/>
      <c r="U166" s="119"/>
      <c r="V166" s="119"/>
      <c r="W166" s="119"/>
      <c r="X166" s="172" t="str">
        <f>IF(R166&lt;&gt;0,IF(R166&gt;1,R166/100,R166),IF(U166&lt;&gt;0,IF(U166&gt;1,U166/100,U166),""))</f>
        <v/>
      </c>
      <c r="Y166" s="119">
        <v>0.1</v>
      </c>
      <c r="Z166" s="173" t="str">
        <f>IF(X166&lt;&gt;"",IF(X166&lt;0.9,"S","F"),"")</f>
        <v/>
      </c>
    </row>
    <row r="168" spans="1:39">
      <c r="A168" s="134" t="s">
        <v>804</v>
      </c>
    </row>
    <row r="169" spans="1:39">
      <c r="A169" s="130">
        <v>121</v>
      </c>
      <c r="B169" s="131" t="s">
        <v>223</v>
      </c>
      <c r="C169" s="131">
        <v>2003</v>
      </c>
      <c r="D169" s="131" t="s">
        <v>224</v>
      </c>
      <c r="E169" s="132" t="s">
        <v>225</v>
      </c>
      <c r="F169" s="133">
        <v>2002</v>
      </c>
      <c r="G169" s="133" t="s">
        <v>247</v>
      </c>
      <c r="H169" s="133"/>
      <c r="I169" s="133"/>
      <c r="J169" s="133" t="s">
        <v>757</v>
      </c>
      <c r="K169" s="133" t="s">
        <v>721</v>
      </c>
      <c r="L169" s="133" t="s">
        <v>243</v>
      </c>
      <c r="M169" s="133" t="s">
        <v>248</v>
      </c>
      <c r="N169" s="133" t="s">
        <v>249</v>
      </c>
      <c r="O169" s="133" t="s">
        <v>250</v>
      </c>
      <c r="P169" s="133"/>
      <c r="Q169" s="133"/>
      <c r="R169" s="133"/>
      <c r="S169" s="133"/>
      <c r="T169" s="133"/>
      <c r="U169" s="133"/>
      <c r="V169" s="133"/>
      <c r="W169" s="133"/>
      <c r="X169" s="133"/>
      <c r="Y169" s="133">
        <v>1.92</v>
      </c>
      <c r="Z169" s="156"/>
    </row>
    <row r="170" spans="1:39" s="99" customFormat="1">
      <c r="A170" s="134"/>
      <c r="B170" s="134"/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134"/>
      <c r="U170" s="134"/>
      <c r="V170" s="134"/>
      <c r="W170" s="134"/>
      <c r="X170" s="134"/>
      <c r="Y170" s="134"/>
      <c r="Z170" s="134"/>
      <c r="AA170" s="156"/>
      <c r="AB170" s="156"/>
      <c r="AC170" s="156"/>
      <c r="AD170" s="156"/>
      <c r="AE170" s="156"/>
      <c r="AF170" s="156"/>
      <c r="AG170" s="156"/>
      <c r="AH170" s="156"/>
      <c r="AI170" s="156"/>
      <c r="AJ170" s="156"/>
      <c r="AK170" s="156"/>
      <c r="AL170" s="156"/>
      <c r="AM170" s="156"/>
    </row>
    <row r="171" spans="1:39">
      <c r="A171" s="110">
        <v>174</v>
      </c>
      <c r="B171" s="114" t="s">
        <v>407</v>
      </c>
      <c r="C171" s="114">
        <v>2009</v>
      </c>
      <c r="D171" s="122" t="s">
        <v>408</v>
      </c>
      <c r="E171" s="113" t="s">
        <v>16</v>
      </c>
      <c r="F171" s="123" t="s">
        <v>410</v>
      </c>
      <c r="G171" s="114" t="s">
        <v>458</v>
      </c>
      <c r="H171" s="114"/>
      <c r="I171" s="114"/>
      <c r="J171" s="114" t="s">
        <v>748</v>
      </c>
      <c r="K171" s="114" t="s">
        <v>642</v>
      </c>
      <c r="L171" s="114" t="s">
        <v>459</v>
      </c>
      <c r="M171" s="121"/>
      <c r="N171" s="121"/>
      <c r="O171" s="114" t="s">
        <v>460</v>
      </c>
      <c r="P171" s="120"/>
      <c r="Q171" s="120"/>
      <c r="R171" s="114"/>
      <c r="S171" s="114"/>
      <c r="T171" s="114"/>
      <c r="U171" s="125">
        <v>0.94299999999999995</v>
      </c>
      <c r="V171" s="114"/>
      <c r="W171" s="114"/>
      <c r="X171" s="134">
        <f>IF(R171&lt;&gt;0,IF(R171&gt;1,R171/100,R171),IF(U171&lt;&gt;0,IF(U171&gt;1,U171/100,U171),""))</f>
        <v>0.94299999999999995</v>
      </c>
      <c r="Y171" s="126">
        <v>0.7</v>
      </c>
      <c r="Z171" s="135" t="str">
        <f>IF(X171&lt;&gt;"",IF(X171&lt;0.9,"S","F"),"")</f>
        <v>F</v>
      </c>
    </row>
    <row r="172" spans="1:39">
      <c r="A172" s="110">
        <v>174</v>
      </c>
      <c r="B172" s="114" t="s">
        <v>407</v>
      </c>
      <c r="C172" s="114">
        <v>2009</v>
      </c>
      <c r="D172" s="122" t="s">
        <v>408</v>
      </c>
      <c r="E172" s="113" t="s">
        <v>16</v>
      </c>
      <c r="F172" s="123" t="s">
        <v>410</v>
      </c>
      <c r="G172" s="114"/>
      <c r="H172" s="114"/>
      <c r="I172" s="114"/>
      <c r="J172" s="114" t="s">
        <v>749</v>
      </c>
      <c r="K172" s="114" t="s">
        <v>643</v>
      </c>
      <c r="L172" s="114" t="s">
        <v>447</v>
      </c>
      <c r="M172" s="121"/>
      <c r="N172" s="121"/>
      <c r="O172" s="114" t="s">
        <v>448</v>
      </c>
      <c r="P172" s="120"/>
      <c r="Q172" s="120"/>
      <c r="R172" s="114"/>
      <c r="S172" s="114"/>
      <c r="T172" s="114"/>
      <c r="U172" s="125">
        <v>0.92200000000000004</v>
      </c>
      <c r="V172" s="114"/>
      <c r="W172" s="114"/>
      <c r="X172" s="134">
        <f>IF(R172&lt;&gt;0,IF(R172&gt;1,R172/100,R172),IF(U172&lt;&gt;0,IF(U172&gt;1,U172/100,U172),""))</f>
        <v>0.92200000000000004</v>
      </c>
      <c r="Y172" s="126">
        <v>0.9</v>
      </c>
      <c r="Z172" s="135" t="str">
        <f>IF(X172&lt;&gt;"",IF(X172&lt;0.9,"S","F"),"")</f>
        <v>F</v>
      </c>
    </row>
    <row r="173" spans="1:39">
      <c r="A173" s="110">
        <v>174</v>
      </c>
      <c r="B173" s="114" t="s">
        <v>407</v>
      </c>
      <c r="C173" s="114">
        <v>2009</v>
      </c>
      <c r="D173" s="122" t="s">
        <v>408</v>
      </c>
      <c r="E173" s="113" t="s">
        <v>16</v>
      </c>
      <c r="F173" s="123" t="s">
        <v>410</v>
      </c>
      <c r="G173" s="114" t="s">
        <v>442</v>
      </c>
      <c r="H173" s="114"/>
      <c r="I173" s="114"/>
      <c r="J173" s="114" t="s">
        <v>749</v>
      </c>
      <c r="K173" s="114" t="s">
        <v>643</v>
      </c>
      <c r="L173" s="114" t="s">
        <v>443</v>
      </c>
      <c r="M173" s="121"/>
      <c r="N173" s="121"/>
      <c r="O173" s="114" t="s">
        <v>443</v>
      </c>
      <c r="P173" s="120"/>
      <c r="Q173" s="120"/>
      <c r="R173" s="114"/>
      <c r="S173" s="114"/>
      <c r="T173" s="114"/>
      <c r="U173" s="125">
        <v>0.91100000000000003</v>
      </c>
      <c r="V173" s="114"/>
      <c r="W173" s="114"/>
      <c r="X173" s="134">
        <f>IF(R173&lt;&gt;0,IF(R173&gt;1,R173/100,R173),IF(U173&lt;&gt;0,IF(U173&gt;1,U173/100,U173),""))</f>
        <v>0.91100000000000003</v>
      </c>
      <c r="Y173" s="126">
        <v>1</v>
      </c>
      <c r="Z173" s="135" t="str">
        <f>IF(X173&lt;&gt;"",IF(X173&lt;0.9,"S","F"),"")</f>
        <v>F</v>
      </c>
    </row>
  </sheetData>
  <sortState ref="A88:AM119">
    <sortCondition ref="Z88:Z119"/>
    <sortCondition descending="1" ref="X88:X119"/>
  </sortState>
  <dataValidations count="1">
    <dataValidation showInputMessage="1" showErrorMessage="1" sqref="A12:A19 A1"/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workbookViewId="0">
      <selection activeCell="A39" sqref="A39:XFD39"/>
    </sheetView>
  </sheetViews>
  <sheetFormatPr baseColWidth="10" defaultRowHeight="15" x14ac:dyDescent="0"/>
  <cols>
    <col min="2" max="2" width="18.5" bestFit="1" customWidth="1"/>
    <col min="3" max="3" width="14.33203125" bestFit="1" customWidth="1"/>
  </cols>
  <sheetData>
    <row r="1" spans="1:4">
      <c r="A1" s="90" t="s">
        <v>0</v>
      </c>
      <c r="B1" s="90" t="s">
        <v>1</v>
      </c>
      <c r="C1" s="237" t="s">
        <v>2</v>
      </c>
      <c r="D1" s="237" t="s">
        <v>3</v>
      </c>
    </row>
    <row r="2" spans="1:4">
      <c r="A2" s="110">
        <v>63</v>
      </c>
      <c r="B2" s="120" t="s">
        <v>53</v>
      </c>
      <c r="C2" s="120">
        <v>1989</v>
      </c>
      <c r="D2" s="120" t="s">
        <v>54</v>
      </c>
    </row>
    <row r="3" spans="1:4">
      <c r="A3" s="110">
        <v>118</v>
      </c>
      <c r="B3" s="238" t="s">
        <v>199</v>
      </c>
      <c r="C3" s="114">
        <v>1999</v>
      </c>
      <c r="D3" s="238" t="s">
        <v>200</v>
      </c>
    </row>
    <row r="4" spans="1:4">
      <c r="A4" s="110">
        <v>119</v>
      </c>
      <c r="B4" s="120" t="s">
        <v>199</v>
      </c>
      <c r="C4" s="120">
        <v>2000</v>
      </c>
      <c r="D4" s="120" t="s">
        <v>205</v>
      </c>
    </row>
    <row r="5" spans="1:4">
      <c r="A5" s="110">
        <v>121</v>
      </c>
      <c r="B5" s="120" t="s">
        <v>223</v>
      </c>
      <c r="C5" s="120">
        <v>2003</v>
      </c>
      <c r="D5" s="120" t="s">
        <v>224</v>
      </c>
    </row>
    <row r="6" spans="1:4">
      <c r="A6" s="110">
        <v>134</v>
      </c>
      <c r="B6" s="114" t="s">
        <v>122</v>
      </c>
      <c r="C6" s="128">
        <v>1999</v>
      </c>
      <c r="D6" s="127" t="s">
        <v>257</v>
      </c>
    </row>
    <row r="7" spans="1:4">
      <c r="A7" s="110">
        <v>172</v>
      </c>
      <c r="B7" s="114" t="s">
        <v>302</v>
      </c>
      <c r="C7" s="114">
        <v>2010</v>
      </c>
      <c r="D7" s="114" t="s">
        <v>303</v>
      </c>
    </row>
    <row r="8" spans="1:4">
      <c r="A8" s="110">
        <v>173</v>
      </c>
      <c r="B8" s="114" t="s">
        <v>302</v>
      </c>
      <c r="C8" s="114">
        <v>2011</v>
      </c>
      <c r="D8" s="127" t="s">
        <v>352</v>
      </c>
    </row>
    <row r="9" spans="1:4">
      <c r="A9" s="110">
        <v>174</v>
      </c>
      <c r="B9" s="114" t="s">
        <v>407</v>
      </c>
      <c r="C9" s="114">
        <v>2009</v>
      </c>
      <c r="D9" s="127" t="s">
        <v>408</v>
      </c>
    </row>
    <row r="10" spans="1:4">
      <c r="A10" s="110">
        <v>182</v>
      </c>
      <c r="B10" s="239" t="s">
        <v>466</v>
      </c>
      <c r="C10" s="114">
        <v>2010</v>
      </c>
      <c r="D10" s="238" t="s">
        <v>467</v>
      </c>
    </row>
    <row r="11" spans="1:4">
      <c r="A11" s="114"/>
      <c r="B11" s="240" t="s">
        <v>552</v>
      </c>
      <c r="C11" s="240">
        <v>2013</v>
      </c>
      <c r="D11" s="240"/>
    </row>
    <row r="12" spans="1:4">
      <c r="A12" s="172"/>
      <c r="B12" s="114" t="s">
        <v>544</v>
      </c>
      <c r="C12" s="114">
        <v>2005</v>
      </c>
      <c r="D12" s="127" t="s">
        <v>545</v>
      </c>
    </row>
    <row r="13" spans="1:4">
      <c r="A13" s="240"/>
      <c r="B13" s="240" t="s">
        <v>537</v>
      </c>
      <c r="C13" s="240">
        <v>1993</v>
      </c>
      <c r="D13" s="240"/>
    </row>
    <row r="14" spans="1:4">
      <c r="A14" s="172"/>
      <c r="B14" s="114" t="s">
        <v>540</v>
      </c>
      <c r="C14" s="114">
        <v>2013</v>
      </c>
      <c r="D14" s="127" t="s">
        <v>541</v>
      </c>
    </row>
    <row r="15" spans="1:4">
      <c r="A15" t="s">
        <v>831</v>
      </c>
    </row>
    <row r="16" spans="1:4">
      <c r="A16" s="110">
        <v>80</v>
      </c>
      <c r="B16" s="114" t="s">
        <v>38</v>
      </c>
      <c r="C16" s="128">
        <v>1991</v>
      </c>
      <c r="D16" s="117" t="s">
        <v>71</v>
      </c>
    </row>
    <row r="17" spans="1:4">
      <c r="A17" s="110">
        <v>88</v>
      </c>
      <c r="B17" s="112" t="s">
        <v>95</v>
      </c>
      <c r="C17" s="111">
        <v>1992</v>
      </c>
      <c r="D17" s="112" t="s">
        <v>96</v>
      </c>
    </row>
    <row r="18" spans="1:4">
      <c r="A18" s="110">
        <v>139</v>
      </c>
      <c r="B18" s="115" t="s">
        <v>38</v>
      </c>
      <c r="C18" s="115">
        <v>1990</v>
      </c>
      <c r="D18" s="122" t="s">
        <v>262</v>
      </c>
    </row>
    <row r="20" spans="1:4">
      <c r="A20" t="s">
        <v>832</v>
      </c>
    </row>
    <row r="21" spans="1:4">
      <c r="A21" s="1">
        <v>63</v>
      </c>
      <c r="B21" s="2" t="s">
        <v>53</v>
      </c>
      <c r="C21" s="2">
        <v>1989</v>
      </c>
      <c r="D21" s="2" t="s">
        <v>54</v>
      </c>
    </row>
    <row r="22" spans="1:4">
      <c r="A22" s="1">
        <v>80</v>
      </c>
      <c r="B22" s="3" t="s">
        <v>38</v>
      </c>
      <c r="C22" s="15">
        <v>1991</v>
      </c>
      <c r="D22" s="12" t="s">
        <v>71</v>
      </c>
    </row>
    <row r="23" spans="1:4">
      <c r="A23" s="1">
        <v>139</v>
      </c>
      <c r="B23" s="2" t="s">
        <v>38</v>
      </c>
      <c r="C23" s="2">
        <v>1990</v>
      </c>
      <c r="D23" s="8" t="s">
        <v>262</v>
      </c>
    </row>
    <row r="24" spans="1:4">
      <c r="A24" s="1"/>
      <c r="B24" s="2" t="s">
        <v>537</v>
      </c>
      <c r="C24" s="2">
        <v>1993</v>
      </c>
      <c r="D24" s="8"/>
    </row>
    <row r="26" spans="1:4">
      <c r="A26" t="s">
        <v>833</v>
      </c>
      <c r="B26" s="44"/>
      <c r="C26" s="100"/>
      <c r="D26" s="100"/>
    </row>
    <row r="27" spans="1:4">
      <c r="A27" s="47">
        <v>37</v>
      </c>
      <c r="B27" s="52" t="s">
        <v>23</v>
      </c>
      <c r="C27" s="52">
        <v>1982</v>
      </c>
      <c r="D27" s="52" t="s">
        <v>27</v>
      </c>
    </row>
    <row r="28" spans="1:4">
      <c r="A28" s="47">
        <v>63</v>
      </c>
      <c r="B28" s="52" t="s">
        <v>53</v>
      </c>
      <c r="C28" s="52">
        <v>1989</v>
      </c>
      <c r="D28" s="52" t="s">
        <v>54</v>
      </c>
    </row>
    <row r="29" spans="1:4">
      <c r="A29" s="47">
        <v>142</v>
      </c>
      <c r="B29" s="74" t="s">
        <v>281</v>
      </c>
      <c r="C29" s="48">
        <v>2007</v>
      </c>
      <c r="D29" s="72" t="s">
        <v>282</v>
      </c>
    </row>
    <row r="30" spans="1:4">
      <c r="A30" s="47">
        <v>144</v>
      </c>
      <c r="B30" s="74" t="s">
        <v>36</v>
      </c>
      <c r="C30" s="52">
        <v>1980</v>
      </c>
      <c r="D30" s="74" t="s">
        <v>287</v>
      </c>
    </row>
    <row r="31" spans="1:4">
      <c r="A31" s="47">
        <v>172</v>
      </c>
      <c r="B31" s="48" t="s">
        <v>302</v>
      </c>
      <c r="C31" s="48">
        <v>2010</v>
      </c>
      <c r="D31" s="48" t="s">
        <v>303</v>
      </c>
    </row>
    <row r="32" spans="1:4">
      <c r="A32" s="47">
        <v>173</v>
      </c>
      <c r="B32" s="48" t="s">
        <v>302</v>
      </c>
      <c r="C32" s="48">
        <v>2011</v>
      </c>
      <c r="D32" s="74" t="s">
        <v>352</v>
      </c>
    </row>
    <row r="33" spans="1:4">
      <c r="A33" s="47">
        <v>182</v>
      </c>
      <c r="B33" s="49" t="s">
        <v>466</v>
      </c>
      <c r="C33" s="48">
        <v>2010</v>
      </c>
      <c r="D33" s="105" t="s">
        <v>467</v>
      </c>
    </row>
    <row r="34" spans="1:4">
      <c r="A34" s="47">
        <v>203</v>
      </c>
      <c r="B34" s="105" t="s">
        <v>527</v>
      </c>
      <c r="C34" s="48">
        <v>2011</v>
      </c>
      <c r="D34" s="105" t="s">
        <v>528</v>
      </c>
    </row>
    <row r="35" spans="1:4">
      <c r="A35" s="87"/>
      <c r="B35" s="87" t="s">
        <v>552</v>
      </c>
      <c r="C35" s="87">
        <v>2011</v>
      </c>
      <c r="D35" s="87"/>
    </row>
    <row r="36" spans="1:4">
      <c r="A36" s="87"/>
      <c r="B36" s="37" t="s">
        <v>563</v>
      </c>
      <c r="C36" s="106">
        <v>1996</v>
      </c>
      <c r="D36" s="87"/>
    </row>
    <row r="37" spans="1:4">
      <c r="A37" s="37"/>
      <c r="B37" s="37" t="s">
        <v>537</v>
      </c>
      <c r="C37" s="106">
        <v>1993</v>
      </c>
      <c r="D37" s="107"/>
    </row>
    <row r="38" spans="1:4">
      <c r="A38" s="37"/>
      <c r="B38" s="48" t="s">
        <v>540</v>
      </c>
      <c r="C38" s="48">
        <v>2013</v>
      </c>
      <c r="D38" s="74" t="s">
        <v>541</v>
      </c>
    </row>
    <row r="40" spans="1:4">
      <c r="A40" s="34" t="s">
        <v>834</v>
      </c>
      <c r="B40" s="44"/>
      <c r="C40" s="100"/>
      <c r="D40" s="100"/>
    </row>
    <row r="41" spans="1:4">
      <c r="A41" s="47">
        <v>118</v>
      </c>
      <c r="B41" s="105" t="s">
        <v>199</v>
      </c>
      <c r="C41" s="48">
        <v>1999</v>
      </c>
      <c r="D41" s="105" t="s">
        <v>200</v>
      </c>
    </row>
    <row r="42" spans="1:4">
      <c r="A42" s="47">
        <v>119</v>
      </c>
      <c r="B42" s="52" t="s">
        <v>199</v>
      </c>
      <c r="C42" s="52">
        <v>2000</v>
      </c>
      <c r="D42" s="52" t="s">
        <v>205</v>
      </c>
    </row>
    <row r="43" spans="1:4">
      <c r="A43" s="47">
        <v>144</v>
      </c>
      <c r="B43" s="74" t="s">
        <v>36</v>
      </c>
      <c r="C43" s="52">
        <v>1980</v>
      </c>
      <c r="D43" s="74" t="s">
        <v>287</v>
      </c>
    </row>
    <row r="44" spans="1:4">
      <c r="A44" s="47">
        <v>172</v>
      </c>
      <c r="B44" s="48" t="s">
        <v>302</v>
      </c>
      <c r="C44" s="48">
        <v>2010</v>
      </c>
      <c r="D44" s="48" t="s">
        <v>303</v>
      </c>
    </row>
    <row r="45" spans="1:4">
      <c r="A45" s="47">
        <v>173</v>
      </c>
      <c r="B45" s="48" t="s">
        <v>302</v>
      </c>
      <c r="C45" s="48">
        <v>2011</v>
      </c>
      <c r="D45" s="74" t="s">
        <v>352</v>
      </c>
    </row>
    <row r="46" spans="1:4">
      <c r="A46" s="47">
        <v>174</v>
      </c>
      <c r="B46" s="48" t="s">
        <v>407</v>
      </c>
      <c r="C46" s="48">
        <v>2009</v>
      </c>
      <c r="D46" s="74" t="s">
        <v>408</v>
      </c>
    </row>
    <row r="47" spans="1:4">
      <c r="A47" s="47">
        <v>197</v>
      </c>
      <c r="B47" s="105" t="s">
        <v>466</v>
      </c>
      <c r="C47" s="48">
        <v>2007</v>
      </c>
      <c r="D47" s="105" t="s">
        <v>513</v>
      </c>
    </row>
    <row r="48" spans="1:4">
      <c r="A48" s="87"/>
      <c r="B48" s="87" t="s">
        <v>552</v>
      </c>
      <c r="C48" s="87">
        <v>2011</v>
      </c>
      <c r="D48" s="87"/>
    </row>
    <row r="49" spans="1:4">
      <c r="A49" s="37"/>
      <c r="B49" s="37" t="s">
        <v>563</v>
      </c>
      <c r="C49" s="106">
        <v>1996</v>
      </c>
      <c r="D49" s="107"/>
    </row>
    <row r="50" spans="1:4">
      <c r="A50" s="37"/>
      <c r="B50" s="48" t="s">
        <v>540</v>
      </c>
      <c r="C50" s="48">
        <v>2013</v>
      </c>
      <c r="D50" s="74" t="s">
        <v>541</v>
      </c>
    </row>
    <row r="52" spans="1:4">
      <c r="A52" s="34" t="s">
        <v>835</v>
      </c>
      <c r="B52" s="44"/>
      <c r="C52" s="100"/>
      <c r="D52" s="100"/>
    </row>
    <row r="53" spans="1:4">
      <c r="A53" s="47">
        <v>144</v>
      </c>
      <c r="B53" s="74" t="s">
        <v>36</v>
      </c>
      <c r="C53" s="52">
        <v>1980</v>
      </c>
      <c r="D53" s="74" t="s">
        <v>287</v>
      </c>
    </row>
    <row r="54" spans="1:4">
      <c r="A54" s="47">
        <v>172</v>
      </c>
      <c r="B54" s="48" t="s">
        <v>302</v>
      </c>
      <c r="C54" s="48">
        <v>2010</v>
      </c>
      <c r="D54" s="48" t="s">
        <v>303</v>
      </c>
    </row>
    <row r="55" spans="1:4">
      <c r="A55" s="47">
        <v>173</v>
      </c>
      <c r="B55" s="48" t="s">
        <v>302</v>
      </c>
      <c r="C55" s="48">
        <v>2011</v>
      </c>
      <c r="D55" s="74" t="s">
        <v>352</v>
      </c>
    </row>
    <row r="56" spans="1:4">
      <c r="A56" s="47">
        <v>174</v>
      </c>
      <c r="B56" s="48" t="s">
        <v>407</v>
      </c>
      <c r="C56" s="48">
        <v>2009</v>
      </c>
      <c r="D56" s="74" t="s">
        <v>408</v>
      </c>
    </row>
    <row r="57" spans="1:4">
      <c r="A57" s="47">
        <v>197</v>
      </c>
      <c r="B57" s="105" t="s">
        <v>466</v>
      </c>
      <c r="C57" s="48">
        <v>2007</v>
      </c>
      <c r="D57" s="105" t="s">
        <v>513</v>
      </c>
    </row>
    <row r="58" spans="1:4">
      <c r="A58" s="87"/>
      <c r="B58" s="87" t="s">
        <v>552</v>
      </c>
      <c r="C58" s="87">
        <v>2011</v>
      </c>
      <c r="D58" s="87"/>
    </row>
  </sheetData>
  <sortState ref="A58:D136">
    <sortCondition ref="A58:A136"/>
    <sortCondition ref="B58:B136"/>
    <sortCondition ref="C58:C136"/>
  </sortState>
  <dataValidations count="1">
    <dataValidation showInputMessage="1" showErrorMessage="1" sqref="A4 A1 A27 A40:A41 A52:A53"/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workbookViewId="0">
      <pane ySplit="560" activePane="bottomLeft"/>
      <selection activeCell="Q1" sqref="Q1"/>
      <selection pane="bottomLeft" activeCell="A2" sqref="A2:D10"/>
    </sheetView>
  </sheetViews>
  <sheetFormatPr baseColWidth="10" defaultColWidth="11" defaultRowHeight="15" x14ac:dyDescent="0"/>
  <cols>
    <col min="8" max="8" width="9.6640625" customWidth="1"/>
    <col min="9" max="9" width="8.5" customWidth="1"/>
    <col min="10" max="10" width="11.6640625" customWidth="1"/>
    <col min="11" max="11" width="26.6640625" bestFit="1" customWidth="1"/>
    <col min="12" max="12" width="57" bestFit="1" customWidth="1"/>
    <col min="13" max="14" width="15.83203125" bestFit="1" customWidth="1"/>
    <col min="15" max="15" width="21.1640625" bestFit="1" customWidth="1"/>
    <col min="16" max="16" width="24" bestFit="1" customWidth="1"/>
    <col min="17" max="17" width="3.33203125" style="95" customWidth="1"/>
    <col min="18" max="18" width="13" style="18" bestFit="1" customWidth="1"/>
  </cols>
  <sheetData>
    <row r="1" spans="1:20">
      <c r="A1" s="90" t="s">
        <v>0</v>
      </c>
      <c r="B1" s="90" t="s">
        <v>1</v>
      </c>
      <c r="C1" s="91" t="s">
        <v>2</v>
      </c>
      <c r="D1" s="91" t="s">
        <v>3</v>
      </c>
      <c r="E1" s="90" t="s">
        <v>4</v>
      </c>
      <c r="F1" s="90" t="s">
        <v>5</v>
      </c>
      <c r="G1" s="90" t="s">
        <v>6</v>
      </c>
      <c r="H1" s="90" t="s">
        <v>7</v>
      </c>
      <c r="I1" s="90" t="s">
        <v>589</v>
      </c>
      <c r="J1" s="90" t="s">
        <v>702</v>
      </c>
      <c r="K1" s="90" t="s">
        <v>606</v>
      </c>
      <c r="L1" s="90" t="s">
        <v>8</v>
      </c>
      <c r="M1" s="44" t="s">
        <v>9</v>
      </c>
      <c r="N1" s="44" t="s">
        <v>10</v>
      </c>
      <c r="O1" s="90" t="s">
        <v>11</v>
      </c>
      <c r="P1" s="90" t="s">
        <v>15</v>
      </c>
      <c r="Q1" s="92"/>
      <c r="R1" s="175"/>
      <c r="S1" s="177" t="s">
        <v>814</v>
      </c>
      <c r="T1" s="177" t="s">
        <v>819</v>
      </c>
    </row>
    <row r="2" spans="1:20">
      <c r="A2" s="1"/>
      <c r="B2" s="2" t="s">
        <v>537</v>
      </c>
      <c r="C2" s="2">
        <v>1993</v>
      </c>
      <c r="D2" s="8"/>
      <c r="E2" s="4" t="s">
        <v>56</v>
      </c>
      <c r="F2" s="3"/>
      <c r="G2" s="3"/>
      <c r="H2" s="3" t="s">
        <v>116</v>
      </c>
      <c r="I2" s="3" t="s">
        <v>590</v>
      </c>
      <c r="J2" s="3" t="s">
        <v>710</v>
      </c>
      <c r="K2" s="3" t="s">
        <v>676</v>
      </c>
      <c r="L2" s="3" t="s">
        <v>240</v>
      </c>
      <c r="M2" s="3"/>
      <c r="N2" s="3"/>
      <c r="O2" s="3" t="s">
        <v>538</v>
      </c>
      <c r="P2" s="3">
        <v>0.14000000000000001</v>
      </c>
      <c r="Q2" s="93"/>
      <c r="R2" s="179" t="str">
        <f>+J2</f>
        <v>N conifer</v>
      </c>
      <c r="S2" s="178">
        <f>AVERAGE($P$2:$P$4)</f>
        <v>0.23666666666666666</v>
      </c>
      <c r="T2" s="177">
        <f>COUNT($P$2:$P$4)</f>
        <v>3</v>
      </c>
    </row>
    <row r="3" spans="1:20">
      <c r="A3" s="1">
        <v>63</v>
      </c>
      <c r="B3" s="2" t="s">
        <v>53</v>
      </c>
      <c r="C3" s="2">
        <v>1989</v>
      </c>
      <c r="D3" s="2" t="s">
        <v>54</v>
      </c>
      <c r="E3" s="12" t="s">
        <v>56</v>
      </c>
      <c r="F3" s="13">
        <v>31749</v>
      </c>
      <c r="G3" s="3" t="s">
        <v>67</v>
      </c>
      <c r="H3" s="14" t="s">
        <v>39</v>
      </c>
      <c r="I3" s="14"/>
      <c r="J3" s="3" t="s">
        <v>710</v>
      </c>
      <c r="K3" s="3" t="s">
        <v>671</v>
      </c>
      <c r="L3" s="9" t="s">
        <v>68</v>
      </c>
      <c r="M3" s="9"/>
      <c r="N3" s="9"/>
      <c r="O3" s="9" t="s">
        <v>41</v>
      </c>
      <c r="P3" s="9">
        <v>0.16</v>
      </c>
      <c r="Q3" s="94"/>
      <c r="R3" s="179" t="str">
        <f>+J5</f>
        <v>N hardwood</v>
      </c>
      <c r="S3" s="178">
        <f>AVERAGE($P$5:$P$6)</f>
        <v>0.2</v>
      </c>
      <c r="T3" s="177">
        <f>COUNT($P$5:$P$6)</f>
        <v>2</v>
      </c>
    </row>
    <row r="4" spans="1:20">
      <c r="A4" s="1">
        <v>63</v>
      </c>
      <c r="B4" s="2" t="s">
        <v>53</v>
      </c>
      <c r="C4" s="2">
        <v>1989</v>
      </c>
      <c r="D4" s="2" t="s">
        <v>54</v>
      </c>
      <c r="E4" s="12" t="s">
        <v>56</v>
      </c>
      <c r="F4" s="13">
        <v>32017</v>
      </c>
      <c r="G4" s="3" t="s">
        <v>65</v>
      </c>
      <c r="H4" s="3" t="s">
        <v>550</v>
      </c>
      <c r="I4" s="3"/>
      <c r="J4" s="89" t="s">
        <v>710</v>
      </c>
      <c r="K4" s="89" t="s">
        <v>671</v>
      </c>
      <c r="L4" s="9" t="s">
        <v>820</v>
      </c>
      <c r="M4" s="9"/>
      <c r="N4" s="9"/>
      <c r="O4" s="9" t="s">
        <v>45</v>
      </c>
      <c r="P4" s="9">
        <v>0.41</v>
      </c>
      <c r="Q4" s="94"/>
      <c r="R4" s="179" t="str">
        <f>+J7</f>
        <v>W conifer</v>
      </c>
      <c r="S4" s="178">
        <f>+$P$7</f>
        <v>0.27</v>
      </c>
      <c r="T4" s="177">
        <f>COUNT(+$P$7)</f>
        <v>1</v>
      </c>
    </row>
    <row r="5" spans="1:20">
      <c r="A5" s="1">
        <v>139</v>
      </c>
      <c r="B5" s="2" t="s">
        <v>38</v>
      </c>
      <c r="C5" s="2">
        <v>1990</v>
      </c>
      <c r="D5" s="8" t="s">
        <v>262</v>
      </c>
      <c r="E5" s="4" t="s">
        <v>56</v>
      </c>
      <c r="F5" s="7">
        <v>32730</v>
      </c>
      <c r="G5" s="3" t="s">
        <v>65</v>
      </c>
      <c r="H5" s="3" t="s">
        <v>550</v>
      </c>
      <c r="I5" s="3"/>
      <c r="J5" s="3" t="s">
        <v>672</v>
      </c>
      <c r="K5" s="3" t="s">
        <v>752</v>
      </c>
      <c r="L5" s="3" t="s">
        <v>275</v>
      </c>
      <c r="M5" s="3"/>
      <c r="N5" s="3"/>
      <c r="O5" s="3" t="s">
        <v>276</v>
      </c>
      <c r="P5" s="3">
        <v>0.18</v>
      </c>
      <c r="Q5" s="94"/>
      <c r="R5" s="179" t="str">
        <f>+J8</f>
        <v>W mixedwood</v>
      </c>
      <c r="S5" s="178">
        <f>+$P$8</f>
        <v>0.04</v>
      </c>
      <c r="T5" s="177">
        <f>COUNT(+$P$8)</f>
        <v>1</v>
      </c>
    </row>
    <row r="6" spans="1:20">
      <c r="A6" s="1">
        <v>80</v>
      </c>
      <c r="B6" s="3" t="s">
        <v>38</v>
      </c>
      <c r="C6" s="15">
        <v>1991</v>
      </c>
      <c r="D6" s="12" t="s">
        <v>71</v>
      </c>
      <c r="E6" s="4" t="s">
        <v>73</v>
      </c>
      <c r="F6" s="3">
        <v>1988</v>
      </c>
      <c r="G6" s="3" t="s">
        <v>85</v>
      </c>
      <c r="H6" s="3" t="s">
        <v>550</v>
      </c>
      <c r="I6" s="3"/>
      <c r="J6" s="3" t="s">
        <v>672</v>
      </c>
      <c r="K6" s="3" t="s">
        <v>752</v>
      </c>
      <c r="L6" s="3" t="s">
        <v>86</v>
      </c>
      <c r="M6" s="3"/>
      <c r="N6" s="3"/>
      <c r="O6" s="3" t="s">
        <v>87</v>
      </c>
      <c r="P6" s="3">
        <v>0.22</v>
      </c>
      <c r="Q6" s="94"/>
      <c r="R6" s="179" t="str">
        <f>+J9</f>
        <v>W shrub</v>
      </c>
      <c r="S6" s="178">
        <f>AVERAGE($P$9:$P$10)</f>
        <v>0.29000000000000004</v>
      </c>
      <c r="T6" s="177">
        <f>COUNT($P$9:$P$10)</f>
        <v>2</v>
      </c>
    </row>
    <row r="7" spans="1:20">
      <c r="A7" s="1">
        <v>63</v>
      </c>
      <c r="B7" s="2" t="s">
        <v>53</v>
      </c>
      <c r="C7" s="2">
        <v>1989</v>
      </c>
      <c r="D7" s="2" t="s">
        <v>54</v>
      </c>
      <c r="E7" s="4" t="s">
        <v>56</v>
      </c>
      <c r="F7" s="3" t="s">
        <v>63</v>
      </c>
      <c r="G7" s="3" t="s">
        <v>46</v>
      </c>
      <c r="H7" s="3" t="s">
        <v>29</v>
      </c>
      <c r="I7" s="3" t="s">
        <v>590</v>
      </c>
      <c r="J7" s="3" t="s">
        <v>706</v>
      </c>
      <c r="K7" s="3" t="s">
        <v>659</v>
      </c>
      <c r="L7" s="3" t="s">
        <v>753</v>
      </c>
      <c r="M7" s="3"/>
      <c r="N7" s="3"/>
      <c r="O7" s="3" t="s">
        <v>48</v>
      </c>
      <c r="P7" s="3">
        <v>0.27</v>
      </c>
      <c r="Q7" s="94"/>
      <c r="R7"/>
    </row>
    <row r="8" spans="1:20">
      <c r="A8" s="1">
        <v>139</v>
      </c>
      <c r="B8" s="2" t="s">
        <v>38</v>
      </c>
      <c r="C8" s="2">
        <v>1990</v>
      </c>
      <c r="D8" s="8" t="s">
        <v>262</v>
      </c>
      <c r="E8" s="4" t="s">
        <v>56</v>
      </c>
      <c r="F8" s="7">
        <v>32776</v>
      </c>
      <c r="G8" s="3" t="s">
        <v>88</v>
      </c>
      <c r="H8" s="3" t="s">
        <v>550</v>
      </c>
      <c r="I8" s="3"/>
      <c r="J8" s="3" t="s">
        <v>715</v>
      </c>
      <c r="K8" s="3" t="s">
        <v>754</v>
      </c>
      <c r="L8" s="3" t="s">
        <v>279</v>
      </c>
      <c r="M8" s="3"/>
      <c r="N8" s="3"/>
      <c r="O8" s="3" t="s">
        <v>280</v>
      </c>
      <c r="P8" s="3">
        <v>0.04</v>
      </c>
      <c r="Q8" s="94"/>
      <c r="R8"/>
    </row>
    <row r="9" spans="1:20">
      <c r="A9" s="1">
        <v>63</v>
      </c>
      <c r="B9" s="2" t="s">
        <v>53</v>
      </c>
      <c r="C9" s="2">
        <v>1989</v>
      </c>
      <c r="D9" s="2" t="s">
        <v>54</v>
      </c>
      <c r="E9" s="4" t="s">
        <v>56</v>
      </c>
      <c r="F9" s="7">
        <v>31758</v>
      </c>
      <c r="G9" s="3" t="s">
        <v>57</v>
      </c>
      <c r="H9" s="3" t="s">
        <v>39</v>
      </c>
      <c r="I9" s="3"/>
      <c r="J9" s="3" t="s">
        <v>704</v>
      </c>
      <c r="K9" s="3" t="s">
        <v>614</v>
      </c>
      <c r="L9" s="3" t="s">
        <v>58</v>
      </c>
      <c r="M9" s="3"/>
      <c r="N9" s="3"/>
      <c r="O9" s="3" t="s">
        <v>59</v>
      </c>
      <c r="P9" s="3">
        <v>0.31</v>
      </c>
      <c r="Q9" s="94"/>
      <c r="R9"/>
    </row>
    <row r="10" spans="1:20">
      <c r="A10" s="1">
        <v>63</v>
      </c>
      <c r="B10" s="2" t="s">
        <v>53</v>
      </c>
      <c r="C10" s="2">
        <v>1989</v>
      </c>
      <c r="D10" s="2" t="s">
        <v>54</v>
      </c>
      <c r="E10" s="4" t="s">
        <v>56</v>
      </c>
      <c r="F10" s="7">
        <v>31950</v>
      </c>
      <c r="G10" s="3" t="s">
        <v>57</v>
      </c>
      <c r="H10" s="3" t="s">
        <v>39</v>
      </c>
      <c r="I10" s="3"/>
      <c r="J10" s="3" t="s">
        <v>704</v>
      </c>
      <c r="K10" s="3" t="s">
        <v>614</v>
      </c>
      <c r="L10" s="3" t="s">
        <v>58</v>
      </c>
      <c r="M10" s="3"/>
      <c r="N10" s="3"/>
      <c r="O10" s="3" t="s">
        <v>43</v>
      </c>
      <c r="P10" s="3">
        <v>0.27</v>
      </c>
      <c r="Q10" s="93"/>
      <c r="R10"/>
    </row>
    <row r="11" spans="1:20">
      <c r="A11" s="1"/>
      <c r="B11" s="2"/>
      <c r="C11" s="2"/>
      <c r="D11" s="8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94"/>
    </row>
    <row r="12" spans="1:20">
      <c r="A12" s="3" t="s">
        <v>536</v>
      </c>
      <c r="B12" s="2"/>
      <c r="C12" s="2"/>
      <c r="D12" s="8"/>
      <c r="E12" s="4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94"/>
    </row>
    <row r="13" spans="1:20">
      <c r="A13" s="1">
        <v>193</v>
      </c>
      <c r="B13" s="3" t="s">
        <v>501</v>
      </c>
      <c r="C13" s="3">
        <v>2001</v>
      </c>
      <c r="D13" s="3" t="s">
        <v>502</v>
      </c>
      <c r="E13" s="4" t="s">
        <v>503</v>
      </c>
      <c r="F13" s="3">
        <v>2001</v>
      </c>
      <c r="G13" s="3"/>
      <c r="H13" s="3"/>
      <c r="I13" s="3"/>
      <c r="J13" s="3"/>
      <c r="K13" s="3"/>
      <c r="L13" s="3" t="s">
        <v>508</v>
      </c>
      <c r="M13" s="3"/>
      <c r="N13" s="3"/>
      <c r="O13" s="3"/>
      <c r="P13" s="3">
        <v>0.03</v>
      </c>
      <c r="Q13" s="94"/>
    </row>
    <row r="14" spans="1:20">
      <c r="A14" s="1">
        <v>193</v>
      </c>
      <c r="B14" s="16" t="s">
        <v>501</v>
      </c>
      <c r="C14" s="17">
        <v>2001</v>
      </c>
      <c r="D14" s="16" t="s">
        <v>502</v>
      </c>
      <c r="E14" s="4" t="s">
        <v>503</v>
      </c>
      <c r="F14" s="3">
        <v>2001</v>
      </c>
      <c r="G14" s="3"/>
      <c r="H14" s="3"/>
      <c r="I14" s="3"/>
      <c r="J14" s="3"/>
      <c r="K14" s="3"/>
      <c r="L14" s="3" t="s">
        <v>506</v>
      </c>
      <c r="M14" s="3"/>
      <c r="N14" s="3"/>
      <c r="O14" s="3"/>
      <c r="P14" s="3">
        <v>0.06</v>
      </c>
      <c r="Q14" s="94"/>
    </row>
    <row r="15" spans="1:20">
      <c r="A15" s="1">
        <v>193</v>
      </c>
      <c r="B15" s="16" t="s">
        <v>501</v>
      </c>
      <c r="C15" s="17">
        <v>2001</v>
      </c>
      <c r="D15" s="16" t="s">
        <v>502</v>
      </c>
      <c r="E15" s="4" t="s">
        <v>503</v>
      </c>
      <c r="F15" s="3">
        <v>2001</v>
      </c>
      <c r="G15" s="3"/>
      <c r="H15" s="3"/>
      <c r="I15" s="3"/>
      <c r="J15" s="3"/>
      <c r="K15" s="3"/>
      <c r="L15" s="3" t="s">
        <v>120</v>
      </c>
      <c r="M15" s="3"/>
      <c r="N15" s="3"/>
      <c r="O15" s="3"/>
      <c r="P15" s="3">
        <v>7.0000000000000007E-2</v>
      </c>
      <c r="Q15" s="94"/>
    </row>
    <row r="16" spans="1:20">
      <c r="A16" s="1">
        <v>193</v>
      </c>
      <c r="B16" s="16" t="s">
        <v>501</v>
      </c>
      <c r="C16" s="17">
        <v>2001</v>
      </c>
      <c r="D16" s="16" t="s">
        <v>502</v>
      </c>
      <c r="E16" s="4" t="s">
        <v>503</v>
      </c>
      <c r="F16" s="3">
        <v>2001</v>
      </c>
      <c r="G16" s="3"/>
      <c r="H16" s="3"/>
      <c r="I16" s="3"/>
      <c r="J16" s="3"/>
      <c r="K16" s="3"/>
      <c r="L16" s="3" t="s">
        <v>119</v>
      </c>
      <c r="M16" s="3"/>
      <c r="N16" s="3"/>
      <c r="O16" s="3"/>
      <c r="P16" s="3">
        <v>0.2</v>
      </c>
      <c r="Q16" s="94"/>
    </row>
    <row r="17" spans="1:18">
      <c r="A17" s="1">
        <v>193</v>
      </c>
      <c r="B17" s="16" t="s">
        <v>501</v>
      </c>
      <c r="C17" s="17">
        <v>2001</v>
      </c>
      <c r="D17" s="16" t="s">
        <v>502</v>
      </c>
      <c r="E17" s="4" t="s">
        <v>503</v>
      </c>
      <c r="F17" s="3">
        <v>2001</v>
      </c>
      <c r="G17" s="3"/>
      <c r="H17" s="3"/>
      <c r="I17" s="3"/>
      <c r="J17" s="3"/>
      <c r="K17" s="3"/>
      <c r="L17" s="3" t="s">
        <v>505</v>
      </c>
      <c r="M17" s="3"/>
      <c r="N17" s="3"/>
      <c r="O17" s="3"/>
      <c r="P17" s="3">
        <v>0.2</v>
      </c>
      <c r="Q17" s="94"/>
    </row>
    <row r="18" spans="1:18">
      <c r="A18" s="1">
        <v>193</v>
      </c>
      <c r="B18" s="16" t="s">
        <v>501</v>
      </c>
      <c r="C18" s="17">
        <v>2001</v>
      </c>
      <c r="D18" s="16" t="s">
        <v>502</v>
      </c>
      <c r="E18" s="4" t="s">
        <v>503</v>
      </c>
      <c r="F18" s="3">
        <v>2001</v>
      </c>
      <c r="G18" s="3"/>
      <c r="H18" s="3"/>
      <c r="I18" s="3"/>
      <c r="J18" s="3"/>
      <c r="K18" s="3"/>
      <c r="L18" s="3" t="s">
        <v>507</v>
      </c>
      <c r="M18" s="3"/>
      <c r="N18" s="3"/>
      <c r="O18" s="3"/>
      <c r="P18" s="3">
        <v>0.21</v>
      </c>
      <c r="Q18" s="94"/>
    </row>
    <row r="19" spans="1:18">
      <c r="A19" s="1">
        <v>193</v>
      </c>
      <c r="B19" s="16" t="s">
        <v>501</v>
      </c>
      <c r="C19" s="17">
        <v>2001</v>
      </c>
      <c r="D19" s="16" t="s">
        <v>502</v>
      </c>
      <c r="E19" s="4" t="s">
        <v>503</v>
      </c>
      <c r="F19" s="3">
        <v>2001</v>
      </c>
      <c r="G19" s="3"/>
      <c r="H19" s="3"/>
      <c r="I19" s="3"/>
      <c r="J19" s="3"/>
      <c r="K19" s="3"/>
      <c r="L19" s="3" t="s">
        <v>504</v>
      </c>
      <c r="M19" s="3"/>
      <c r="N19" s="3"/>
      <c r="O19" s="3"/>
      <c r="P19" s="3">
        <v>0.26</v>
      </c>
      <c r="Q19" s="94"/>
    </row>
    <row r="20" spans="1:18">
      <c r="A20" t="s">
        <v>777</v>
      </c>
    </row>
    <row r="22" spans="1:18">
      <c r="A22" t="s">
        <v>771</v>
      </c>
    </row>
    <row r="23" spans="1:18">
      <c r="A23" s="1">
        <v>80</v>
      </c>
      <c r="B23" s="3" t="s">
        <v>38</v>
      </c>
      <c r="C23" s="15">
        <v>1991</v>
      </c>
      <c r="D23" s="12" t="s">
        <v>71</v>
      </c>
      <c r="E23" s="4" t="s">
        <v>76</v>
      </c>
      <c r="F23" s="3">
        <v>1987</v>
      </c>
      <c r="G23" s="3" t="s">
        <v>79</v>
      </c>
      <c r="H23" s="3" t="s">
        <v>29</v>
      </c>
      <c r="I23" s="3" t="s">
        <v>590</v>
      </c>
      <c r="J23" s="3" t="s">
        <v>706</v>
      </c>
      <c r="K23" s="3" t="s">
        <v>659</v>
      </c>
      <c r="L23" s="3" t="s">
        <v>753</v>
      </c>
      <c r="M23" s="3"/>
      <c r="N23" s="3"/>
      <c r="O23" s="3" t="s">
        <v>48</v>
      </c>
      <c r="P23" s="3">
        <v>0.27</v>
      </c>
      <c r="Q23" s="94"/>
      <c r="R23"/>
    </row>
    <row r="24" spans="1:18">
      <c r="A24" s="1">
        <v>88</v>
      </c>
      <c r="B24" s="16" t="s">
        <v>95</v>
      </c>
      <c r="C24" s="17">
        <v>1992</v>
      </c>
      <c r="D24" s="16" t="s">
        <v>96</v>
      </c>
      <c r="E24" s="4" t="s">
        <v>76</v>
      </c>
      <c r="F24" s="3">
        <v>1987</v>
      </c>
      <c r="G24" s="3" t="s">
        <v>79</v>
      </c>
      <c r="H24" s="3" t="s">
        <v>29</v>
      </c>
      <c r="I24" s="3" t="s">
        <v>590</v>
      </c>
      <c r="J24" s="3" t="s">
        <v>706</v>
      </c>
      <c r="K24" s="3" t="s">
        <v>659</v>
      </c>
      <c r="L24" s="3" t="s">
        <v>634</v>
      </c>
      <c r="M24" s="3"/>
      <c r="N24" s="3"/>
      <c r="O24" s="3" t="s">
        <v>48</v>
      </c>
      <c r="P24" s="3">
        <v>0.27</v>
      </c>
      <c r="Q24" s="94"/>
      <c r="R24"/>
    </row>
    <row r="25" spans="1:18">
      <c r="A25" s="1">
        <v>139</v>
      </c>
      <c r="B25" s="2" t="s">
        <v>38</v>
      </c>
      <c r="C25" s="2">
        <v>1990</v>
      </c>
      <c r="D25" s="8" t="s">
        <v>262</v>
      </c>
      <c r="E25" s="4" t="s">
        <v>56</v>
      </c>
      <c r="F25" s="3" t="s">
        <v>273</v>
      </c>
      <c r="G25" s="3" t="s">
        <v>79</v>
      </c>
      <c r="H25" s="3" t="s">
        <v>29</v>
      </c>
      <c r="I25" s="3" t="s">
        <v>590</v>
      </c>
      <c r="J25" s="3" t="s">
        <v>706</v>
      </c>
      <c r="K25" s="3" t="s">
        <v>659</v>
      </c>
      <c r="L25" s="3" t="s">
        <v>634</v>
      </c>
      <c r="M25" s="3"/>
      <c r="N25" s="3"/>
      <c r="O25" s="3" t="s">
        <v>274</v>
      </c>
      <c r="P25" s="3">
        <v>0.27</v>
      </c>
      <c r="Q25" s="94"/>
      <c r="R25"/>
    </row>
    <row r="26" spans="1:18">
      <c r="A26" s="1"/>
      <c r="B26" s="2"/>
      <c r="C26" s="2"/>
      <c r="D26" s="8"/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94"/>
      <c r="R26"/>
    </row>
    <row r="27" spans="1:18">
      <c r="A27" t="s">
        <v>772</v>
      </c>
    </row>
    <row r="28" spans="1:18">
      <c r="A28" s="1">
        <v>88</v>
      </c>
      <c r="B28" s="16" t="s">
        <v>95</v>
      </c>
      <c r="C28" s="17">
        <v>1992</v>
      </c>
      <c r="D28" s="16" t="s">
        <v>96</v>
      </c>
      <c r="E28" s="4" t="s">
        <v>73</v>
      </c>
      <c r="F28" s="3">
        <v>1986</v>
      </c>
      <c r="G28" s="3" t="s">
        <v>81</v>
      </c>
      <c r="H28" s="3" t="s">
        <v>39</v>
      </c>
      <c r="I28" s="3"/>
      <c r="J28" s="3" t="s">
        <v>704</v>
      </c>
      <c r="K28" s="3" t="s">
        <v>712</v>
      </c>
      <c r="L28" s="3" t="s">
        <v>98</v>
      </c>
      <c r="M28" s="3"/>
      <c r="N28" s="3"/>
      <c r="O28" s="3" t="s">
        <v>41</v>
      </c>
      <c r="P28" s="3">
        <v>0.16</v>
      </c>
      <c r="Q28" s="94"/>
      <c r="R28"/>
    </row>
    <row r="29" spans="1:18">
      <c r="A29" s="1">
        <v>80</v>
      </c>
      <c r="B29" s="3" t="s">
        <v>38</v>
      </c>
      <c r="C29" s="15">
        <v>1991</v>
      </c>
      <c r="D29" s="12" t="s">
        <v>71</v>
      </c>
      <c r="E29" s="4" t="s">
        <v>73</v>
      </c>
      <c r="F29" s="3">
        <v>1986</v>
      </c>
      <c r="G29" s="3" t="s">
        <v>81</v>
      </c>
      <c r="H29" s="3" t="s">
        <v>39</v>
      </c>
      <c r="I29" s="3"/>
      <c r="J29" s="3" t="s">
        <v>704</v>
      </c>
      <c r="K29" s="3" t="s">
        <v>712</v>
      </c>
      <c r="L29" s="3" t="s">
        <v>98</v>
      </c>
      <c r="M29" s="3"/>
      <c r="N29" s="3"/>
      <c r="O29" s="3" t="s">
        <v>41</v>
      </c>
      <c r="P29" s="3">
        <v>0.16</v>
      </c>
      <c r="Q29" s="94"/>
      <c r="R29"/>
    </row>
    <row r="30" spans="1:18">
      <c r="A30" s="1">
        <v>139</v>
      </c>
      <c r="B30" s="2" t="s">
        <v>38</v>
      </c>
      <c r="C30" s="2">
        <v>1990</v>
      </c>
      <c r="D30" s="8" t="s">
        <v>262</v>
      </c>
      <c r="E30" s="4" t="s">
        <v>56</v>
      </c>
      <c r="F30" s="7">
        <v>31749</v>
      </c>
      <c r="G30" s="3" t="s">
        <v>81</v>
      </c>
      <c r="H30" s="3" t="s">
        <v>39</v>
      </c>
      <c r="I30" s="3"/>
      <c r="J30" s="3" t="s">
        <v>704</v>
      </c>
      <c r="K30" s="3" t="s">
        <v>712</v>
      </c>
      <c r="L30" s="3" t="s">
        <v>98</v>
      </c>
      <c r="M30" s="3"/>
      <c r="N30" s="3"/>
      <c r="O30" s="3" t="s">
        <v>264</v>
      </c>
      <c r="P30" s="3">
        <v>0.16</v>
      </c>
      <c r="Q30" s="94"/>
    </row>
    <row r="31" spans="1:18">
      <c r="A31" s="1"/>
      <c r="B31" s="3"/>
      <c r="C31" s="15"/>
      <c r="D31" s="12"/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94"/>
      <c r="R31"/>
    </row>
    <row r="32" spans="1:18">
      <c r="A32" t="s">
        <v>773</v>
      </c>
    </row>
    <row r="33" spans="1:18">
      <c r="A33" s="1">
        <v>88</v>
      </c>
      <c r="B33" s="16" t="s">
        <v>95</v>
      </c>
      <c r="C33" s="17">
        <v>1992</v>
      </c>
      <c r="D33" s="16" t="s">
        <v>96</v>
      </c>
      <c r="E33" s="4" t="s">
        <v>73</v>
      </c>
      <c r="F33" s="3">
        <v>1987</v>
      </c>
      <c r="G33" s="3" t="s">
        <v>65</v>
      </c>
      <c r="H33" s="3" t="s">
        <v>550</v>
      </c>
      <c r="I33" s="3"/>
      <c r="J33" s="3" t="s">
        <v>673</v>
      </c>
      <c r="K33" s="3" t="s">
        <v>673</v>
      </c>
      <c r="L33" s="3" t="s">
        <v>102</v>
      </c>
      <c r="M33" s="3"/>
      <c r="N33" s="3"/>
      <c r="O33" s="3" t="s">
        <v>45</v>
      </c>
      <c r="P33" s="3">
        <v>0.47</v>
      </c>
      <c r="Q33" s="94"/>
      <c r="R33"/>
    </row>
    <row r="34" spans="1:18">
      <c r="A34" s="1">
        <v>80</v>
      </c>
      <c r="B34" s="3" t="s">
        <v>38</v>
      </c>
      <c r="C34" s="15">
        <v>1991</v>
      </c>
      <c r="D34" s="12" t="s">
        <v>71</v>
      </c>
      <c r="E34" s="4" t="s">
        <v>73</v>
      </c>
      <c r="F34" s="3">
        <v>1987</v>
      </c>
      <c r="G34" s="3" t="s">
        <v>65</v>
      </c>
      <c r="H34" s="3" t="s">
        <v>550</v>
      </c>
      <c r="I34" s="3"/>
      <c r="J34" s="3" t="s">
        <v>673</v>
      </c>
      <c r="K34" s="3" t="s">
        <v>673</v>
      </c>
      <c r="L34" s="3" t="s">
        <v>80</v>
      </c>
      <c r="M34" s="3"/>
      <c r="N34" s="3"/>
      <c r="O34" s="3" t="s">
        <v>45</v>
      </c>
      <c r="P34" s="3">
        <v>0.41</v>
      </c>
      <c r="Q34" s="94"/>
      <c r="R34"/>
    </row>
    <row r="35" spans="1:18">
      <c r="A35" s="1">
        <v>139</v>
      </c>
      <c r="B35" s="2" t="s">
        <v>38</v>
      </c>
      <c r="C35" s="2">
        <v>1990</v>
      </c>
      <c r="D35" s="8" t="s">
        <v>262</v>
      </c>
      <c r="E35" s="4" t="s">
        <v>56</v>
      </c>
      <c r="F35" s="7">
        <v>32017</v>
      </c>
      <c r="G35" s="3" t="s">
        <v>65</v>
      </c>
      <c r="H35" s="3" t="s">
        <v>550</v>
      </c>
      <c r="I35" s="3"/>
      <c r="J35" s="3" t="s">
        <v>673</v>
      </c>
      <c r="K35" s="3" t="s">
        <v>722</v>
      </c>
      <c r="L35" s="3" t="s">
        <v>268</v>
      </c>
      <c r="M35" s="3"/>
      <c r="N35" s="3"/>
      <c r="O35" s="3" t="s">
        <v>269</v>
      </c>
      <c r="P35" s="3">
        <v>0.41</v>
      </c>
      <c r="Q35" s="94"/>
      <c r="R35"/>
    </row>
    <row r="37" spans="1:18">
      <c r="A37" s="1">
        <v>80</v>
      </c>
      <c r="B37" s="3" t="s">
        <v>38</v>
      </c>
      <c r="C37" s="15">
        <v>1991</v>
      </c>
      <c r="D37" s="12" t="s">
        <v>71</v>
      </c>
      <c r="E37" s="4" t="s">
        <v>73</v>
      </c>
      <c r="F37" s="3">
        <v>1986</v>
      </c>
      <c r="G37" s="3" t="s">
        <v>74</v>
      </c>
      <c r="H37" s="3" t="s">
        <v>39</v>
      </c>
      <c r="I37" s="3"/>
      <c r="J37" s="3" t="s">
        <v>704</v>
      </c>
      <c r="K37" s="3" t="s">
        <v>614</v>
      </c>
      <c r="L37" s="3" t="s">
        <v>58</v>
      </c>
      <c r="M37" s="3"/>
      <c r="N37" s="3"/>
      <c r="O37" s="3" t="s">
        <v>75</v>
      </c>
      <c r="P37" s="3">
        <v>0.31</v>
      </c>
      <c r="Q37" s="94"/>
      <c r="R37"/>
    </row>
    <row r="38" spans="1:18">
      <c r="A38" s="1">
        <v>139</v>
      </c>
      <c r="B38" s="2" t="s">
        <v>38</v>
      </c>
      <c r="C38" s="2">
        <v>1990</v>
      </c>
      <c r="D38" s="8" t="s">
        <v>262</v>
      </c>
      <c r="E38" s="4" t="s">
        <v>56</v>
      </c>
      <c r="F38" s="7">
        <v>31758</v>
      </c>
      <c r="G38" s="3" t="s">
        <v>265</v>
      </c>
      <c r="H38" s="3" t="s">
        <v>39</v>
      </c>
      <c r="I38" s="3"/>
      <c r="J38" s="3" t="s">
        <v>704</v>
      </c>
      <c r="K38" s="3" t="s">
        <v>614</v>
      </c>
      <c r="L38" s="3" t="s">
        <v>58</v>
      </c>
      <c r="M38" s="3"/>
      <c r="N38" s="3"/>
      <c r="O38" s="3" t="s">
        <v>266</v>
      </c>
      <c r="P38" s="3">
        <v>0.31</v>
      </c>
      <c r="Q38" s="94"/>
      <c r="R38"/>
    </row>
    <row r="39" spans="1:18">
      <c r="A39" s="1">
        <v>88</v>
      </c>
      <c r="B39" s="16" t="s">
        <v>95</v>
      </c>
      <c r="C39" s="17">
        <v>1992</v>
      </c>
      <c r="D39" s="16" t="s">
        <v>96</v>
      </c>
      <c r="E39" s="4" t="s">
        <v>73</v>
      </c>
      <c r="F39" s="3">
        <v>1986</v>
      </c>
      <c r="G39" s="3" t="s">
        <v>74</v>
      </c>
      <c r="H39" s="3" t="s">
        <v>39</v>
      </c>
      <c r="I39" s="3"/>
      <c r="J39" s="3" t="s">
        <v>704</v>
      </c>
      <c r="K39" s="3" t="s">
        <v>614</v>
      </c>
      <c r="L39" s="3" t="s">
        <v>99</v>
      </c>
      <c r="M39" s="3"/>
      <c r="N39" s="3"/>
      <c r="O39" s="3" t="s">
        <v>100</v>
      </c>
      <c r="P39" s="3">
        <v>0.3</v>
      </c>
      <c r="Q39" s="94"/>
      <c r="R39"/>
    </row>
    <row r="41" spans="1:18">
      <c r="A41" s="1">
        <v>80</v>
      </c>
      <c r="B41" s="3" t="s">
        <v>38</v>
      </c>
      <c r="C41" s="15">
        <v>1991</v>
      </c>
      <c r="D41" s="12" t="s">
        <v>71</v>
      </c>
      <c r="E41" s="4" t="s">
        <v>73</v>
      </c>
      <c r="F41" s="3">
        <v>1987</v>
      </c>
      <c r="G41" s="3" t="s">
        <v>74</v>
      </c>
      <c r="H41" s="3" t="s">
        <v>39</v>
      </c>
      <c r="I41" s="3"/>
      <c r="J41" s="3" t="s">
        <v>704</v>
      </c>
      <c r="K41" s="3" t="s">
        <v>614</v>
      </c>
      <c r="L41" s="3" t="s">
        <v>58</v>
      </c>
      <c r="M41" s="3"/>
      <c r="N41" s="3"/>
      <c r="O41" s="3" t="s">
        <v>43</v>
      </c>
      <c r="P41" s="3">
        <v>0.27</v>
      </c>
      <c r="Q41" s="94"/>
      <c r="R41"/>
    </row>
    <row r="42" spans="1:18">
      <c r="A42" s="1">
        <v>139</v>
      </c>
      <c r="B42" s="2" t="s">
        <v>38</v>
      </c>
      <c r="C42" s="2">
        <v>1990</v>
      </c>
      <c r="D42" s="8" t="s">
        <v>262</v>
      </c>
      <c r="E42" s="4" t="s">
        <v>56</v>
      </c>
      <c r="F42" s="13">
        <v>31950</v>
      </c>
      <c r="G42" s="14" t="s">
        <v>265</v>
      </c>
      <c r="H42" s="14" t="s">
        <v>39</v>
      </c>
      <c r="I42" s="14"/>
      <c r="J42" s="3" t="s">
        <v>704</v>
      </c>
      <c r="K42" s="3" t="s">
        <v>614</v>
      </c>
      <c r="L42" s="9" t="s">
        <v>42</v>
      </c>
      <c r="M42" s="9"/>
      <c r="N42" s="9"/>
      <c r="O42" s="9" t="s">
        <v>267</v>
      </c>
      <c r="P42" s="9">
        <v>0.27</v>
      </c>
      <c r="Q42" s="93"/>
      <c r="R42"/>
    </row>
    <row r="43" spans="1:18">
      <c r="A43" s="1">
        <v>88</v>
      </c>
      <c r="B43" s="16" t="s">
        <v>95</v>
      </c>
      <c r="C43" s="17">
        <v>1992</v>
      </c>
      <c r="D43" s="16" t="s">
        <v>96</v>
      </c>
      <c r="E43" s="4" t="s">
        <v>73</v>
      </c>
      <c r="F43" s="3">
        <v>1987</v>
      </c>
      <c r="G43" s="3" t="s">
        <v>74</v>
      </c>
      <c r="H43" s="3" t="s">
        <v>39</v>
      </c>
      <c r="I43" s="3"/>
      <c r="J43" s="3" t="s">
        <v>704</v>
      </c>
      <c r="K43" s="3" t="s">
        <v>614</v>
      </c>
      <c r="L43" s="3" t="s">
        <v>99</v>
      </c>
      <c r="M43" s="3"/>
      <c r="N43" s="3"/>
      <c r="O43" s="3" t="s">
        <v>101</v>
      </c>
      <c r="P43" s="3">
        <v>0.35</v>
      </c>
      <c r="Q43" s="94"/>
      <c r="R43"/>
    </row>
    <row r="45" spans="1:18">
      <c r="A45" t="s">
        <v>774</v>
      </c>
    </row>
    <row r="46" spans="1:18">
      <c r="A46" s="1">
        <v>88</v>
      </c>
      <c r="B46" s="16" t="s">
        <v>95</v>
      </c>
      <c r="C46" s="17">
        <v>1992</v>
      </c>
      <c r="D46" s="16" t="s">
        <v>96</v>
      </c>
      <c r="E46" s="4" t="s">
        <v>73</v>
      </c>
      <c r="F46" s="3">
        <v>1989</v>
      </c>
      <c r="G46" s="3" t="s">
        <v>65</v>
      </c>
      <c r="H46" s="3" t="s">
        <v>550</v>
      </c>
      <c r="I46" s="3"/>
      <c r="J46" s="3" t="s">
        <v>672</v>
      </c>
      <c r="K46" s="3" t="s">
        <v>672</v>
      </c>
      <c r="L46" s="3" t="s">
        <v>110</v>
      </c>
      <c r="M46" s="3"/>
      <c r="N46" s="3"/>
      <c r="O46" s="3" t="s">
        <v>84</v>
      </c>
      <c r="P46" s="3">
        <v>0.39</v>
      </c>
      <c r="Q46" s="94"/>
      <c r="R46"/>
    </row>
    <row r="47" spans="1:18">
      <c r="A47" s="1">
        <v>80</v>
      </c>
      <c r="B47" s="3" t="s">
        <v>38</v>
      </c>
      <c r="C47" s="15">
        <v>1991</v>
      </c>
      <c r="D47" s="12" t="s">
        <v>71</v>
      </c>
      <c r="E47" s="4" t="s">
        <v>73</v>
      </c>
      <c r="F47" s="3">
        <v>1989</v>
      </c>
      <c r="G47" s="3" t="s">
        <v>65</v>
      </c>
      <c r="H47" s="3" t="s">
        <v>550</v>
      </c>
      <c r="I47" s="3"/>
      <c r="J47" s="3" t="s">
        <v>672</v>
      </c>
      <c r="K47" s="3" t="s">
        <v>752</v>
      </c>
      <c r="L47" s="3" t="s">
        <v>83</v>
      </c>
      <c r="M47" s="3"/>
      <c r="N47" s="3"/>
      <c r="O47" s="3" t="s">
        <v>84</v>
      </c>
      <c r="P47" s="3">
        <v>0.18</v>
      </c>
      <c r="Q47" s="94"/>
      <c r="R47"/>
    </row>
    <row r="48" spans="1:18">
      <c r="A48" t="s">
        <v>775</v>
      </c>
    </row>
    <row r="49" spans="1:20">
      <c r="A49" s="1">
        <v>88</v>
      </c>
      <c r="B49" s="16" t="s">
        <v>95</v>
      </c>
      <c r="C49" s="17">
        <v>1992</v>
      </c>
      <c r="D49" s="16" t="s">
        <v>96</v>
      </c>
      <c r="E49" s="4" t="s">
        <v>73</v>
      </c>
      <c r="F49" s="3">
        <v>1989</v>
      </c>
      <c r="G49" s="3" t="s">
        <v>88</v>
      </c>
      <c r="H49" s="3" t="s">
        <v>550</v>
      </c>
      <c r="I49" s="3"/>
      <c r="J49" s="3" t="s">
        <v>706</v>
      </c>
      <c r="K49" s="3" t="s">
        <v>659</v>
      </c>
      <c r="L49" s="3" t="s">
        <v>114</v>
      </c>
      <c r="M49" s="3"/>
      <c r="N49" s="3"/>
      <c r="O49" s="3" t="s">
        <v>90</v>
      </c>
      <c r="P49" s="3">
        <v>3.2000000000000001E-2</v>
      </c>
      <c r="Q49" s="94"/>
      <c r="R49"/>
    </row>
    <row r="50" spans="1:20">
      <c r="A50" s="1">
        <v>80</v>
      </c>
      <c r="B50" s="3" t="s">
        <v>38</v>
      </c>
      <c r="C50" s="15">
        <v>1991</v>
      </c>
      <c r="D50" s="12" t="s">
        <v>71</v>
      </c>
      <c r="E50" s="4" t="s">
        <v>73</v>
      </c>
      <c r="F50" s="3">
        <v>1989</v>
      </c>
      <c r="G50" s="3" t="s">
        <v>88</v>
      </c>
      <c r="H50" s="3" t="s">
        <v>550</v>
      </c>
      <c r="I50" s="3"/>
      <c r="J50" s="3" t="s">
        <v>706</v>
      </c>
      <c r="K50" s="3" t="s">
        <v>659</v>
      </c>
      <c r="L50" s="3" t="s">
        <v>89</v>
      </c>
      <c r="M50" s="3"/>
      <c r="N50" s="3"/>
      <c r="O50" s="3" t="s">
        <v>90</v>
      </c>
      <c r="P50" s="3">
        <v>0.04</v>
      </c>
      <c r="Q50" s="94"/>
      <c r="R50"/>
    </row>
    <row r="51" spans="1:20">
      <c r="A51" t="s">
        <v>776</v>
      </c>
    </row>
    <row r="52" spans="1:20">
      <c r="A52" s="1">
        <v>88</v>
      </c>
      <c r="B52" s="16" t="s">
        <v>95</v>
      </c>
      <c r="C52" s="17">
        <v>1992</v>
      </c>
      <c r="D52" s="16" t="s">
        <v>96</v>
      </c>
      <c r="E52" s="4" t="s">
        <v>73</v>
      </c>
      <c r="F52" s="3">
        <v>1989</v>
      </c>
      <c r="G52" s="3" t="s">
        <v>85</v>
      </c>
      <c r="H52" s="3" t="s">
        <v>550</v>
      </c>
      <c r="I52" s="3"/>
      <c r="J52" s="3" t="s">
        <v>672</v>
      </c>
      <c r="K52" s="3" t="s">
        <v>672</v>
      </c>
      <c r="L52" s="3" t="s">
        <v>111</v>
      </c>
      <c r="M52" s="3"/>
      <c r="N52" s="3"/>
      <c r="O52" s="3" t="s">
        <v>112</v>
      </c>
      <c r="P52" s="3">
        <v>0.24</v>
      </c>
      <c r="Q52" s="94"/>
      <c r="R52"/>
    </row>
    <row r="53" spans="1:20">
      <c r="A53" s="1">
        <v>139</v>
      </c>
      <c r="B53" s="2" t="s">
        <v>38</v>
      </c>
      <c r="C53" s="2">
        <v>1990</v>
      </c>
      <c r="D53" s="8" t="s">
        <v>262</v>
      </c>
      <c r="E53" s="4" t="s">
        <v>56</v>
      </c>
      <c r="F53" s="13">
        <v>32732</v>
      </c>
      <c r="G53" s="14" t="s">
        <v>85</v>
      </c>
      <c r="H53" s="3" t="s">
        <v>550</v>
      </c>
      <c r="I53" s="3"/>
      <c r="J53" s="3" t="s">
        <v>672</v>
      </c>
      <c r="K53" s="3" t="s">
        <v>752</v>
      </c>
      <c r="L53" s="9" t="s">
        <v>277</v>
      </c>
      <c r="M53" s="9"/>
      <c r="N53" s="9"/>
      <c r="O53" s="9" t="s">
        <v>278</v>
      </c>
      <c r="P53" s="9">
        <v>0.22</v>
      </c>
      <c r="Q53" s="93"/>
      <c r="R53"/>
    </row>
    <row r="55" spans="1:20">
      <c r="A55" t="s">
        <v>783</v>
      </c>
    </row>
    <row r="56" spans="1:20">
      <c r="A56" s="1">
        <v>88</v>
      </c>
      <c r="B56" s="16" t="s">
        <v>95</v>
      </c>
      <c r="C56" s="17">
        <v>1992</v>
      </c>
      <c r="D56" s="16" t="s">
        <v>96</v>
      </c>
      <c r="E56" s="4" t="s">
        <v>73</v>
      </c>
      <c r="F56" s="3">
        <v>1987</v>
      </c>
      <c r="G56" s="3" t="s">
        <v>106</v>
      </c>
      <c r="H56" s="3" t="s">
        <v>49</v>
      </c>
      <c r="I56" s="3"/>
      <c r="J56" s="3" t="s">
        <v>706</v>
      </c>
      <c r="K56" s="3" t="s">
        <v>659</v>
      </c>
      <c r="L56" s="3" t="s">
        <v>107</v>
      </c>
      <c r="M56" s="3"/>
      <c r="N56" s="3"/>
      <c r="O56" s="3" t="s">
        <v>50</v>
      </c>
      <c r="P56" s="3">
        <v>1.3</v>
      </c>
      <c r="Q56" s="94"/>
      <c r="R56"/>
    </row>
    <row r="57" spans="1:20">
      <c r="A57" s="1">
        <v>88</v>
      </c>
      <c r="B57" s="16" t="s">
        <v>95</v>
      </c>
      <c r="C57" s="17">
        <v>1992</v>
      </c>
      <c r="D57" s="16" t="s">
        <v>96</v>
      </c>
      <c r="E57" s="4" t="s">
        <v>76</v>
      </c>
      <c r="F57" s="3">
        <v>1990</v>
      </c>
      <c r="G57" s="3" t="s">
        <v>115</v>
      </c>
      <c r="H57" s="3" t="s">
        <v>116</v>
      </c>
      <c r="I57" s="3"/>
      <c r="J57" s="3" t="s">
        <v>710</v>
      </c>
      <c r="K57" s="3" t="s">
        <v>676</v>
      </c>
      <c r="L57" s="3" t="s">
        <v>117</v>
      </c>
      <c r="M57" s="3"/>
      <c r="N57" s="3"/>
      <c r="O57" s="3" t="s">
        <v>118</v>
      </c>
      <c r="P57" s="3">
        <v>0.15</v>
      </c>
      <c r="Q57" s="94"/>
      <c r="R57"/>
    </row>
    <row r="58" spans="1:20">
      <c r="A58" s="1">
        <v>88</v>
      </c>
      <c r="B58" s="16" t="s">
        <v>95</v>
      </c>
      <c r="C58" s="17">
        <v>1992</v>
      </c>
      <c r="D58" s="16" t="s">
        <v>96</v>
      </c>
      <c r="E58" s="4" t="s">
        <v>76</v>
      </c>
      <c r="F58" s="3">
        <v>1987</v>
      </c>
      <c r="G58" s="3" t="s">
        <v>77</v>
      </c>
      <c r="H58" s="3" t="s">
        <v>29</v>
      </c>
      <c r="I58" s="3" t="s">
        <v>590</v>
      </c>
      <c r="J58" s="3" t="s">
        <v>706</v>
      </c>
      <c r="K58" s="3" t="s">
        <v>659</v>
      </c>
      <c r="L58" s="3" t="s">
        <v>103</v>
      </c>
      <c r="M58" s="3"/>
      <c r="N58" s="3"/>
      <c r="O58" s="3" t="s">
        <v>62</v>
      </c>
      <c r="P58" s="3">
        <v>0.18</v>
      </c>
      <c r="Q58" s="94"/>
      <c r="R58" s="3"/>
      <c r="S58" s="18"/>
      <c r="T58" s="18"/>
    </row>
  </sheetData>
  <sortState ref="A2:P10">
    <sortCondition ref="J2:J10"/>
    <sortCondition ref="K2:K10"/>
    <sortCondition ref="O2:O10"/>
  </sortState>
  <dataValidations count="1">
    <dataValidation showInputMessage="1" showErrorMessage="1" sqref="A1"/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6"/>
  <sheetViews>
    <sheetView workbookViewId="0">
      <pane ySplit="560" topLeftCell="A72" activePane="bottomLeft"/>
      <selection activeCell="Y1" sqref="Y1:AE1048576"/>
      <selection pane="bottomLeft" sqref="A1:K96"/>
    </sheetView>
  </sheetViews>
  <sheetFormatPr baseColWidth="10" defaultRowHeight="15" x14ac:dyDescent="0"/>
  <cols>
    <col min="10" max="10" width="12" bestFit="1" customWidth="1"/>
    <col min="11" max="11" width="38.5" bestFit="1" customWidth="1"/>
    <col min="25" max="25" width="12.1640625" bestFit="1" customWidth="1"/>
  </cols>
  <sheetData>
    <row r="1" spans="1:31">
      <c r="A1" s="34" t="s">
        <v>0</v>
      </c>
      <c r="B1" s="44" t="s">
        <v>1</v>
      </c>
      <c r="C1" s="100" t="s">
        <v>2</v>
      </c>
      <c r="D1" s="100" t="s">
        <v>3</v>
      </c>
      <c r="E1" s="44" t="s">
        <v>4</v>
      </c>
      <c r="F1" s="44" t="s">
        <v>5</v>
      </c>
      <c r="G1" s="44" t="s">
        <v>6</v>
      </c>
      <c r="H1" s="44" t="s">
        <v>7</v>
      </c>
      <c r="I1" s="44" t="s">
        <v>589</v>
      </c>
      <c r="J1" s="44" t="s">
        <v>702</v>
      </c>
      <c r="K1" s="88" t="s">
        <v>606</v>
      </c>
      <c r="L1" s="44" t="s">
        <v>8</v>
      </c>
      <c r="M1" s="44" t="s">
        <v>9</v>
      </c>
      <c r="N1" s="44" t="s">
        <v>10</v>
      </c>
      <c r="O1" s="45" t="s">
        <v>11</v>
      </c>
      <c r="P1" s="88" t="s">
        <v>789</v>
      </c>
      <c r="Q1" s="88" t="s">
        <v>790</v>
      </c>
      <c r="R1" s="88" t="s">
        <v>787</v>
      </c>
      <c r="S1" s="88" t="s">
        <v>791</v>
      </c>
      <c r="T1" s="88" t="s">
        <v>792</v>
      </c>
      <c r="U1" s="88" t="s">
        <v>539</v>
      </c>
      <c r="V1" s="90" t="s">
        <v>811</v>
      </c>
      <c r="W1" s="88" t="s">
        <v>786</v>
      </c>
      <c r="X1" s="90" t="s">
        <v>812</v>
      </c>
    </row>
    <row r="2" spans="1:31">
      <c r="A2" s="47">
        <v>144</v>
      </c>
      <c r="B2" s="74" t="s">
        <v>36</v>
      </c>
      <c r="C2" s="52">
        <v>1980</v>
      </c>
      <c r="D2" s="74" t="s">
        <v>287</v>
      </c>
      <c r="E2" s="46" t="s">
        <v>16</v>
      </c>
      <c r="F2" s="48"/>
      <c r="G2" s="48"/>
      <c r="H2" s="48"/>
      <c r="I2" s="48"/>
      <c r="J2" s="87" t="s">
        <v>594</v>
      </c>
      <c r="K2" s="48" t="s">
        <v>594</v>
      </c>
      <c r="L2" s="70" t="s">
        <v>299</v>
      </c>
      <c r="M2" s="48"/>
      <c r="N2" s="48"/>
      <c r="O2" s="48"/>
      <c r="P2" s="48"/>
      <c r="Q2" s="48"/>
      <c r="R2" s="48"/>
      <c r="S2" s="53"/>
      <c r="T2" s="53"/>
      <c r="U2" s="53"/>
      <c r="V2" s="134" t="str">
        <f t="shared" ref="V2:V33" si="0">IF(R2&lt;&gt;0,IF(R2&gt;1,R2/100,R2),IF(U2&lt;&gt;0,IF(U2&gt;1,U2/100,U2),""))</f>
        <v/>
      </c>
      <c r="W2" s="180">
        <v>11.58</v>
      </c>
      <c r="X2" s="135" t="str">
        <f t="shared" ref="X2:X33" si="1">IF(V2&lt;&gt;"",IF(V2&lt;0.9,"S","F"),"")</f>
        <v/>
      </c>
    </row>
    <row r="3" spans="1:31" s="95" customFormat="1">
      <c r="A3" s="190"/>
      <c r="B3" s="190" t="s">
        <v>537</v>
      </c>
      <c r="C3" s="191">
        <v>1993</v>
      </c>
      <c r="D3" s="192"/>
      <c r="E3" s="193" t="s">
        <v>56</v>
      </c>
      <c r="F3" s="190"/>
      <c r="G3" s="190"/>
      <c r="H3" s="190" t="s">
        <v>116</v>
      </c>
      <c r="I3" s="190" t="s">
        <v>590</v>
      </c>
      <c r="J3" s="194" t="s">
        <v>710</v>
      </c>
      <c r="K3" s="190" t="s">
        <v>638</v>
      </c>
      <c r="L3" s="190" t="s">
        <v>446</v>
      </c>
      <c r="M3" s="190"/>
      <c r="N3" s="190"/>
      <c r="O3" s="190" t="s">
        <v>572</v>
      </c>
      <c r="P3" s="190"/>
      <c r="Q3" s="190"/>
      <c r="R3" s="190"/>
      <c r="S3" s="195"/>
      <c r="T3" s="195"/>
      <c r="U3" s="195"/>
      <c r="V3" s="137" t="str">
        <f t="shared" si="0"/>
        <v/>
      </c>
      <c r="W3" s="196">
        <v>1.5</v>
      </c>
      <c r="X3" s="138" t="str">
        <f t="shared" si="1"/>
        <v/>
      </c>
      <c r="Y3" s="232" t="str">
        <f>+J3</f>
        <v>N conifer</v>
      </c>
      <c r="Z3" s="157" t="s">
        <v>814</v>
      </c>
      <c r="AA3" s="157" t="s">
        <v>815</v>
      </c>
      <c r="AB3" s="157" t="s">
        <v>816</v>
      </c>
      <c r="AC3" s="157" t="s">
        <v>817</v>
      </c>
      <c r="AD3" s="157" t="s">
        <v>818</v>
      </c>
      <c r="AE3" s="157" t="s">
        <v>819</v>
      </c>
    </row>
    <row r="4" spans="1:31" s="95" customFormat="1">
      <c r="A4" s="197">
        <v>203</v>
      </c>
      <c r="B4" s="198" t="s">
        <v>527</v>
      </c>
      <c r="C4" s="199">
        <v>2011</v>
      </c>
      <c r="D4" s="198" t="s">
        <v>528</v>
      </c>
      <c r="E4" s="193" t="s">
        <v>16</v>
      </c>
      <c r="F4" s="199">
        <v>2009</v>
      </c>
      <c r="G4" s="199" t="s">
        <v>125</v>
      </c>
      <c r="H4" s="199"/>
      <c r="I4" s="199"/>
      <c r="J4" s="194" t="s">
        <v>710</v>
      </c>
      <c r="K4" s="199" t="s">
        <v>638</v>
      </c>
      <c r="L4" s="199" t="s">
        <v>446</v>
      </c>
      <c r="M4" s="199"/>
      <c r="N4" s="199"/>
      <c r="O4" s="199">
        <v>66</v>
      </c>
      <c r="P4" s="199"/>
      <c r="Q4" s="199"/>
      <c r="R4" s="199"/>
      <c r="S4" s="200"/>
      <c r="T4" s="200"/>
      <c r="U4" s="200">
        <v>0.95</v>
      </c>
      <c r="V4" s="137">
        <f t="shared" si="0"/>
        <v>0.95</v>
      </c>
      <c r="W4" s="201">
        <v>3.5</v>
      </c>
      <c r="X4" s="138" t="str">
        <f t="shared" si="1"/>
        <v>F</v>
      </c>
      <c r="Y4" s="228" t="s">
        <v>813</v>
      </c>
      <c r="Z4" s="229">
        <f>AVERAGE($W$3:$W$7)</f>
        <v>2.3299999999999996</v>
      </c>
      <c r="AA4" s="229">
        <f>MEDIAN($W$3:$W$7)</f>
        <v>2.2999999999999998</v>
      </c>
      <c r="AB4" s="229">
        <f>MAX($W$3:$W$7)</f>
        <v>3.5</v>
      </c>
      <c r="AC4" s="229">
        <f>MIN($W$3:$W$7)</f>
        <v>1.05</v>
      </c>
      <c r="AD4" s="229">
        <f>STDEV($W$3:$W$7)</f>
        <v>1.076800817235946</v>
      </c>
      <c r="AE4" s="228">
        <f>COUNT($W$3:$W$7)</f>
        <v>5</v>
      </c>
    </row>
    <row r="5" spans="1:31" s="95" customFormat="1">
      <c r="A5" s="197">
        <v>203</v>
      </c>
      <c r="B5" s="198" t="s">
        <v>527</v>
      </c>
      <c r="C5" s="199">
        <v>2011</v>
      </c>
      <c r="D5" s="198" t="s">
        <v>528</v>
      </c>
      <c r="E5" s="193" t="s">
        <v>16</v>
      </c>
      <c r="F5" s="199">
        <v>2009</v>
      </c>
      <c r="G5" s="199" t="s">
        <v>125</v>
      </c>
      <c r="H5" s="199"/>
      <c r="I5" s="199"/>
      <c r="J5" s="194" t="s">
        <v>710</v>
      </c>
      <c r="K5" s="199" t="s">
        <v>677</v>
      </c>
      <c r="L5" s="199" t="s">
        <v>453</v>
      </c>
      <c r="M5" s="199"/>
      <c r="N5" s="199"/>
      <c r="O5" s="199">
        <v>55</v>
      </c>
      <c r="P5" s="199"/>
      <c r="Q5" s="199"/>
      <c r="R5" s="199"/>
      <c r="S5" s="200"/>
      <c r="T5" s="200"/>
      <c r="U5" s="200">
        <v>0.94</v>
      </c>
      <c r="V5" s="137">
        <f t="shared" si="0"/>
        <v>0.94</v>
      </c>
      <c r="W5" s="201">
        <v>2.2999999999999998</v>
      </c>
      <c r="X5" s="138" t="str">
        <f t="shared" si="1"/>
        <v>F</v>
      </c>
    </row>
    <row r="6" spans="1:31" s="95" customFormat="1">
      <c r="A6" s="197">
        <v>63</v>
      </c>
      <c r="B6" s="202" t="s">
        <v>53</v>
      </c>
      <c r="C6" s="202">
        <v>1989</v>
      </c>
      <c r="D6" s="202" t="s">
        <v>54</v>
      </c>
      <c r="E6" s="203" t="s">
        <v>56</v>
      </c>
      <c r="F6" s="204">
        <v>32367</v>
      </c>
      <c r="G6" s="199" t="s">
        <v>69</v>
      </c>
      <c r="H6" s="205" t="s">
        <v>550</v>
      </c>
      <c r="I6" s="206"/>
      <c r="J6" s="194" t="s">
        <v>710</v>
      </c>
      <c r="K6" s="206" t="s">
        <v>671</v>
      </c>
      <c r="L6" s="207" t="s">
        <v>68</v>
      </c>
      <c r="M6" s="207"/>
      <c r="N6" s="207"/>
      <c r="O6" s="207" t="s">
        <v>70</v>
      </c>
      <c r="P6" s="207"/>
      <c r="Q6" s="207"/>
      <c r="R6" s="199"/>
      <c r="S6" s="200"/>
      <c r="T6" s="200"/>
      <c r="U6" s="208"/>
      <c r="V6" s="137" t="str">
        <f t="shared" si="0"/>
        <v/>
      </c>
      <c r="W6" s="209">
        <v>1.05</v>
      </c>
      <c r="X6" s="138" t="str">
        <f t="shared" si="1"/>
        <v/>
      </c>
    </row>
    <row r="7" spans="1:31" s="95" customFormat="1">
      <c r="A7" s="197">
        <v>63</v>
      </c>
      <c r="B7" s="202" t="s">
        <v>53</v>
      </c>
      <c r="C7" s="202">
        <v>1989</v>
      </c>
      <c r="D7" s="202" t="s">
        <v>54</v>
      </c>
      <c r="E7" s="210" t="s">
        <v>56</v>
      </c>
      <c r="F7" s="204">
        <v>32017</v>
      </c>
      <c r="G7" s="199" t="s">
        <v>65</v>
      </c>
      <c r="H7" s="205" t="s">
        <v>550</v>
      </c>
      <c r="I7" s="206"/>
      <c r="J7" s="205" t="s">
        <v>710</v>
      </c>
      <c r="K7" s="205" t="s">
        <v>671</v>
      </c>
      <c r="L7" s="211" t="s">
        <v>822</v>
      </c>
      <c r="M7" s="207"/>
      <c r="N7" s="207"/>
      <c r="O7" s="207" t="s">
        <v>45</v>
      </c>
      <c r="P7" s="207"/>
      <c r="Q7" s="207"/>
      <c r="R7" s="199"/>
      <c r="S7" s="200"/>
      <c r="T7" s="200"/>
      <c r="U7" s="212"/>
      <c r="V7" s="137" t="str">
        <f t="shared" si="0"/>
        <v/>
      </c>
      <c r="W7" s="209">
        <v>3.3</v>
      </c>
      <c r="X7" s="138" t="str">
        <f t="shared" si="1"/>
        <v/>
      </c>
    </row>
    <row r="8" spans="1:31">
      <c r="A8" s="47">
        <v>203</v>
      </c>
      <c r="B8" s="105" t="s">
        <v>527</v>
      </c>
      <c r="C8" s="48">
        <v>2011</v>
      </c>
      <c r="D8" s="105" t="s">
        <v>528</v>
      </c>
      <c r="E8" s="46" t="s">
        <v>16</v>
      </c>
      <c r="F8" s="48">
        <v>2009</v>
      </c>
      <c r="G8" s="48" t="s">
        <v>125</v>
      </c>
      <c r="H8" s="48"/>
      <c r="I8" s="48"/>
      <c r="J8" s="87" t="s">
        <v>750</v>
      </c>
      <c r="K8" s="48" t="s">
        <v>600</v>
      </c>
      <c r="L8" s="48" t="s">
        <v>436</v>
      </c>
      <c r="M8" s="48"/>
      <c r="N8" s="48"/>
      <c r="O8" s="48">
        <v>51</v>
      </c>
      <c r="P8" s="48"/>
      <c r="Q8" s="48"/>
      <c r="R8" s="48"/>
      <c r="S8" s="53"/>
      <c r="T8" s="53"/>
      <c r="U8" s="53">
        <v>0.91</v>
      </c>
      <c r="V8" s="134">
        <f t="shared" si="0"/>
        <v>0.91</v>
      </c>
      <c r="W8" s="180">
        <v>1.7</v>
      </c>
      <c r="X8" s="135" t="str">
        <f t="shared" si="1"/>
        <v>F</v>
      </c>
    </row>
    <row r="9" spans="1:31">
      <c r="A9" s="47">
        <v>172</v>
      </c>
      <c r="B9" s="48" t="s">
        <v>302</v>
      </c>
      <c r="C9" s="48">
        <v>2010</v>
      </c>
      <c r="D9" s="48" t="s">
        <v>303</v>
      </c>
      <c r="E9" s="46" t="s">
        <v>305</v>
      </c>
      <c r="F9" s="50">
        <v>40233</v>
      </c>
      <c r="G9" s="48" t="s">
        <v>345</v>
      </c>
      <c r="H9" s="48" t="s">
        <v>116</v>
      </c>
      <c r="I9" s="48"/>
      <c r="J9" s="87" t="s">
        <v>750</v>
      </c>
      <c r="K9" s="48" t="s">
        <v>600</v>
      </c>
      <c r="L9" s="48" t="s">
        <v>346</v>
      </c>
      <c r="M9" s="51"/>
      <c r="N9" s="51"/>
      <c r="O9" s="48"/>
      <c r="P9" s="52"/>
      <c r="Q9" s="52"/>
      <c r="R9" s="48"/>
      <c r="S9" s="53"/>
      <c r="T9" s="53"/>
      <c r="U9" s="54">
        <v>0.82699999999999996</v>
      </c>
      <c r="V9" s="134">
        <f t="shared" si="0"/>
        <v>0.82699999999999996</v>
      </c>
      <c r="W9" s="184">
        <v>0.89</v>
      </c>
      <c r="X9" s="135" t="str">
        <f t="shared" si="1"/>
        <v>S</v>
      </c>
    </row>
    <row r="10" spans="1:31" s="95" customFormat="1">
      <c r="A10" s="197">
        <v>203</v>
      </c>
      <c r="B10" s="198" t="s">
        <v>527</v>
      </c>
      <c r="C10" s="199">
        <v>2011</v>
      </c>
      <c r="D10" s="198" t="s">
        <v>528</v>
      </c>
      <c r="E10" s="193" t="s">
        <v>16</v>
      </c>
      <c r="F10" s="199">
        <v>2009</v>
      </c>
      <c r="G10" s="199" t="s">
        <v>125</v>
      </c>
      <c r="H10" s="199"/>
      <c r="I10" s="199"/>
      <c r="J10" s="194" t="s">
        <v>591</v>
      </c>
      <c r="K10" s="199" t="s">
        <v>591</v>
      </c>
      <c r="L10" s="199" t="s">
        <v>452</v>
      </c>
      <c r="M10" s="199"/>
      <c r="N10" s="199"/>
      <c r="O10" s="199">
        <v>42</v>
      </c>
      <c r="P10" s="199"/>
      <c r="Q10" s="199"/>
      <c r="R10" s="199"/>
      <c r="S10" s="200"/>
      <c r="T10" s="200"/>
      <c r="U10" s="200">
        <v>0.97</v>
      </c>
      <c r="V10" s="137">
        <f t="shared" si="0"/>
        <v>0.97</v>
      </c>
      <c r="W10" s="201">
        <v>3.1</v>
      </c>
      <c r="X10" s="138" t="str">
        <f t="shared" si="1"/>
        <v>F</v>
      </c>
      <c r="Y10" s="232" t="str">
        <f>+J10</f>
        <v>SE grass</v>
      </c>
      <c r="Z10" s="157" t="s">
        <v>814</v>
      </c>
      <c r="AA10" s="157" t="s">
        <v>815</v>
      </c>
      <c r="AB10" s="157" t="s">
        <v>816</v>
      </c>
      <c r="AC10" s="157" t="s">
        <v>817</v>
      </c>
      <c r="AD10" s="157" t="s">
        <v>818</v>
      </c>
      <c r="AE10" s="157" t="s">
        <v>819</v>
      </c>
    </row>
    <row r="11" spans="1:31" s="95" customFormat="1">
      <c r="A11" s="197">
        <v>203</v>
      </c>
      <c r="B11" s="198" t="s">
        <v>527</v>
      </c>
      <c r="C11" s="199">
        <v>2011</v>
      </c>
      <c r="D11" s="198" t="s">
        <v>528</v>
      </c>
      <c r="E11" s="193" t="s">
        <v>16</v>
      </c>
      <c r="F11" s="199">
        <v>2009</v>
      </c>
      <c r="G11" s="199" t="s">
        <v>125</v>
      </c>
      <c r="H11" s="199"/>
      <c r="I11" s="199"/>
      <c r="J11" s="194" t="s">
        <v>591</v>
      </c>
      <c r="K11" s="199" t="s">
        <v>591</v>
      </c>
      <c r="L11" s="199" t="s">
        <v>452</v>
      </c>
      <c r="M11" s="199"/>
      <c r="N11" s="199"/>
      <c r="O11" s="199">
        <v>67</v>
      </c>
      <c r="P11" s="199"/>
      <c r="Q11" s="199"/>
      <c r="R11" s="199"/>
      <c r="S11" s="200"/>
      <c r="T11" s="200"/>
      <c r="U11" s="200">
        <v>0.97</v>
      </c>
      <c r="V11" s="137">
        <f t="shared" si="0"/>
        <v>0.97</v>
      </c>
      <c r="W11" s="201">
        <v>3.6</v>
      </c>
      <c r="X11" s="138" t="str">
        <f t="shared" si="1"/>
        <v>F</v>
      </c>
      <c r="Y11" s="228" t="s">
        <v>813</v>
      </c>
      <c r="Z11" s="229">
        <f>AVERAGE($W$10:$W$14)</f>
        <v>3.2623999999999995</v>
      </c>
      <c r="AA11" s="229">
        <f>MEDIAN($W$10:$W$14)</f>
        <v>3.1</v>
      </c>
      <c r="AB11" s="229">
        <f>MAX($W$10:$W$14)</f>
        <v>3.9</v>
      </c>
      <c r="AC11" s="229">
        <f>MIN($W$10:$W$14)</f>
        <v>2.6509999999999998</v>
      </c>
      <c r="AD11" s="229">
        <f>STDEV($W$10:$W$14)</f>
        <v>0.49021760474304055</v>
      </c>
      <c r="AE11" s="228">
        <f>COUNT($W$10:$W$14)</f>
        <v>5</v>
      </c>
    </row>
    <row r="12" spans="1:31" s="95" customFormat="1">
      <c r="A12" s="197">
        <v>172</v>
      </c>
      <c r="B12" s="199" t="s">
        <v>302</v>
      </c>
      <c r="C12" s="199">
        <v>2010</v>
      </c>
      <c r="D12" s="199" t="s">
        <v>303</v>
      </c>
      <c r="E12" s="193" t="s">
        <v>305</v>
      </c>
      <c r="F12" s="213">
        <v>40228</v>
      </c>
      <c r="G12" s="199" t="s">
        <v>258</v>
      </c>
      <c r="H12" s="199" t="s">
        <v>20</v>
      </c>
      <c r="I12" s="199"/>
      <c r="J12" s="194" t="s">
        <v>591</v>
      </c>
      <c r="K12" s="199" t="s">
        <v>619</v>
      </c>
      <c r="L12" s="199" t="s">
        <v>334</v>
      </c>
      <c r="M12" s="214" t="s">
        <v>592</v>
      </c>
      <c r="N12" s="214"/>
      <c r="O12" s="199"/>
      <c r="P12" s="202"/>
      <c r="Q12" s="202"/>
      <c r="R12" s="199"/>
      <c r="S12" s="200"/>
      <c r="T12" s="200"/>
      <c r="U12" s="215">
        <v>0.93400000000000005</v>
      </c>
      <c r="V12" s="137">
        <f t="shared" si="0"/>
        <v>0.93400000000000005</v>
      </c>
      <c r="W12" s="216">
        <v>2.6509999999999998</v>
      </c>
      <c r="X12" s="138" t="str">
        <f t="shared" si="1"/>
        <v>F</v>
      </c>
    </row>
    <row r="13" spans="1:31" s="95" customFormat="1">
      <c r="A13" s="197">
        <v>172</v>
      </c>
      <c r="B13" s="199" t="s">
        <v>302</v>
      </c>
      <c r="C13" s="199">
        <v>2010</v>
      </c>
      <c r="D13" s="199" t="s">
        <v>303</v>
      </c>
      <c r="E13" s="193" t="s">
        <v>305</v>
      </c>
      <c r="F13" s="213">
        <v>40229</v>
      </c>
      <c r="G13" s="199" t="s">
        <v>258</v>
      </c>
      <c r="H13" s="199" t="s">
        <v>20</v>
      </c>
      <c r="I13" s="199"/>
      <c r="J13" s="194" t="s">
        <v>591</v>
      </c>
      <c r="K13" s="199" t="s">
        <v>619</v>
      </c>
      <c r="L13" s="199" t="s">
        <v>335</v>
      </c>
      <c r="M13" s="214" t="s">
        <v>592</v>
      </c>
      <c r="N13" s="214"/>
      <c r="O13" s="199"/>
      <c r="P13" s="202"/>
      <c r="Q13" s="202"/>
      <c r="R13" s="199"/>
      <c r="S13" s="200"/>
      <c r="T13" s="200"/>
      <c r="U13" s="215">
        <v>0.92700000000000005</v>
      </c>
      <c r="V13" s="137">
        <f t="shared" si="0"/>
        <v>0.92700000000000005</v>
      </c>
      <c r="W13" s="216">
        <v>3.0609999999999999</v>
      </c>
      <c r="X13" s="138" t="str">
        <f t="shared" si="1"/>
        <v>F</v>
      </c>
    </row>
    <row r="14" spans="1:31" s="95" customFormat="1">
      <c r="A14" s="197">
        <v>203</v>
      </c>
      <c r="B14" s="198" t="s">
        <v>527</v>
      </c>
      <c r="C14" s="199">
        <v>2011</v>
      </c>
      <c r="D14" s="198" t="s">
        <v>528</v>
      </c>
      <c r="E14" s="193" t="s">
        <v>16</v>
      </c>
      <c r="F14" s="199">
        <v>2009</v>
      </c>
      <c r="G14" s="199" t="s">
        <v>125</v>
      </c>
      <c r="H14" s="199"/>
      <c r="I14" s="199"/>
      <c r="J14" s="194" t="s">
        <v>591</v>
      </c>
      <c r="K14" s="199" t="s">
        <v>639</v>
      </c>
      <c r="L14" s="199" t="s">
        <v>530</v>
      </c>
      <c r="M14" s="199"/>
      <c r="N14" s="199"/>
      <c r="O14" s="199">
        <v>43</v>
      </c>
      <c r="P14" s="199"/>
      <c r="Q14" s="199"/>
      <c r="R14" s="199"/>
      <c r="S14" s="200"/>
      <c r="T14" s="200"/>
      <c r="U14" s="200">
        <v>0.96</v>
      </c>
      <c r="V14" s="137">
        <f t="shared" si="0"/>
        <v>0.96</v>
      </c>
      <c r="W14" s="201">
        <v>3.9</v>
      </c>
      <c r="X14" s="138" t="str">
        <f t="shared" si="1"/>
        <v>F</v>
      </c>
    </row>
    <row r="15" spans="1:31">
      <c r="A15" s="47">
        <v>172</v>
      </c>
      <c r="B15" s="48" t="s">
        <v>302</v>
      </c>
      <c r="C15" s="48">
        <v>2010</v>
      </c>
      <c r="D15" s="48" t="s">
        <v>303</v>
      </c>
      <c r="E15" s="46" t="s">
        <v>305</v>
      </c>
      <c r="F15" s="50">
        <v>40231</v>
      </c>
      <c r="G15" s="48" t="s">
        <v>258</v>
      </c>
      <c r="H15" s="48" t="s">
        <v>20</v>
      </c>
      <c r="I15" s="48"/>
      <c r="J15" s="87" t="s">
        <v>604</v>
      </c>
      <c r="K15" s="48" t="s">
        <v>617</v>
      </c>
      <c r="L15" s="48" t="s">
        <v>339</v>
      </c>
      <c r="M15" s="51" t="s">
        <v>340</v>
      </c>
      <c r="N15" s="51" t="s">
        <v>341</v>
      </c>
      <c r="O15" s="48"/>
      <c r="P15" s="52"/>
      <c r="Q15" s="52"/>
      <c r="R15" s="48"/>
      <c r="S15" s="53"/>
      <c r="T15" s="53"/>
      <c r="U15" s="55">
        <v>0.95899999999999996</v>
      </c>
      <c r="V15" s="134">
        <f t="shared" si="0"/>
        <v>0.95899999999999996</v>
      </c>
      <c r="W15" s="183">
        <v>1.772</v>
      </c>
      <c r="X15" s="135" t="str">
        <f t="shared" si="1"/>
        <v>F</v>
      </c>
      <c r="Y15" s="179" t="str">
        <f>+J15</f>
        <v>SE hardwood</v>
      </c>
      <c r="Z15" s="175" t="s">
        <v>814</v>
      </c>
      <c r="AA15" s="175" t="s">
        <v>815</v>
      </c>
      <c r="AB15" s="175" t="s">
        <v>816</v>
      </c>
      <c r="AC15" s="175" t="s">
        <v>817</v>
      </c>
      <c r="AD15" s="175" t="s">
        <v>818</v>
      </c>
      <c r="AE15" s="175" t="s">
        <v>819</v>
      </c>
    </row>
    <row r="16" spans="1:31">
      <c r="A16" s="47">
        <v>203</v>
      </c>
      <c r="B16" s="105" t="s">
        <v>527</v>
      </c>
      <c r="C16" s="48">
        <v>2011</v>
      </c>
      <c r="D16" s="105" t="s">
        <v>528</v>
      </c>
      <c r="E16" s="46" t="s">
        <v>16</v>
      </c>
      <c r="F16" s="48">
        <v>2009</v>
      </c>
      <c r="G16" s="48" t="s">
        <v>125</v>
      </c>
      <c r="H16" s="48"/>
      <c r="I16" s="48"/>
      <c r="J16" s="87" t="s">
        <v>604</v>
      </c>
      <c r="K16" s="48" t="s">
        <v>632</v>
      </c>
      <c r="L16" s="48" t="s">
        <v>413</v>
      </c>
      <c r="M16" s="48"/>
      <c r="N16" s="48"/>
      <c r="O16" s="48">
        <v>45</v>
      </c>
      <c r="P16" s="48"/>
      <c r="Q16" s="48"/>
      <c r="R16" s="48"/>
      <c r="S16" s="53"/>
      <c r="T16" s="53"/>
      <c r="U16" s="53">
        <v>0.95</v>
      </c>
      <c r="V16" s="134">
        <f t="shared" si="0"/>
        <v>0.95</v>
      </c>
      <c r="W16" s="180">
        <v>3.1</v>
      </c>
      <c r="X16" s="135" t="str">
        <f t="shared" si="1"/>
        <v>F</v>
      </c>
      <c r="Y16" s="175" t="s">
        <v>813</v>
      </c>
      <c r="Z16" s="176">
        <f>AVERAGE($W$15:$W$17)</f>
        <v>2.4329999999999998</v>
      </c>
      <c r="AA16" s="176">
        <f>MEDIAN($W$15:$W$17)</f>
        <v>2.427</v>
      </c>
      <c r="AB16" s="176">
        <f>MAX($W$15:$W$17)</f>
        <v>3.1</v>
      </c>
      <c r="AC16" s="176">
        <f>MIN($W$15:$W$17)</f>
        <v>1.772</v>
      </c>
      <c r="AD16" s="176">
        <f>STDEV($W$15:$W$17)</f>
        <v>0.66402033101404467</v>
      </c>
      <c r="AE16" s="231">
        <f>COUNT($W$15:$W$17)</f>
        <v>3</v>
      </c>
    </row>
    <row r="17" spans="1:31">
      <c r="A17" s="47">
        <v>172</v>
      </c>
      <c r="B17" s="48" t="s">
        <v>302</v>
      </c>
      <c r="C17" s="48">
        <v>2010</v>
      </c>
      <c r="D17" s="48" t="s">
        <v>303</v>
      </c>
      <c r="E17" s="46" t="s">
        <v>305</v>
      </c>
      <c r="F17" s="50">
        <v>40232</v>
      </c>
      <c r="G17" s="48" t="s">
        <v>258</v>
      </c>
      <c r="H17" s="48" t="s">
        <v>20</v>
      </c>
      <c r="I17" s="48"/>
      <c r="J17" s="87" t="s">
        <v>604</v>
      </c>
      <c r="K17" s="48" t="s">
        <v>618</v>
      </c>
      <c r="L17" s="48" t="s">
        <v>342</v>
      </c>
      <c r="M17" s="51" t="s">
        <v>343</v>
      </c>
      <c r="N17" s="51" t="s">
        <v>344</v>
      </c>
      <c r="O17" s="48"/>
      <c r="P17" s="52"/>
      <c r="Q17" s="52"/>
      <c r="R17" s="48"/>
      <c r="S17" s="53"/>
      <c r="T17" s="53"/>
      <c r="U17" s="55">
        <v>0.95399999999999996</v>
      </c>
      <c r="V17" s="134">
        <f t="shared" si="0"/>
        <v>0.95399999999999996</v>
      </c>
      <c r="W17" s="183">
        <v>2.427</v>
      </c>
      <c r="X17" s="135" t="str">
        <f t="shared" si="1"/>
        <v>F</v>
      </c>
    </row>
    <row r="18" spans="1:31" s="95" customFormat="1">
      <c r="A18" s="197">
        <v>142</v>
      </c>
      <c r="B18" s="206" t="s">
        <v>281</v>
      </c>
      <c r="C18" s="199">
        <v>2007</v>
      </c>
      <c r="D18" s="210" t="s">
        <v>282</v>
      </c>
      <c r="E18" s="193" t="s">
        <v>24</v>
      </c>
      <c r="F18" s="199">
        <v>2007</v>
      </c>
      <c r="G18" s="199" t="s">
        <v>20</v>
      </c>
      <c r="H18" s="199" t="s">
        <v>20</v>
      </c>
      <c r="I18" s="199"/>
      <c r="J18" s="194" t="s">
        <v>703</v>
      </c>
      <c r="K18" s="199" t="s">
        <v>647</v>
      </c>
      <c r="L18" s="199"/>
      <c r="M18" s="199" t="s">
        <v>284</v>
      </c>
      <c r="N18" s="199"/>
      <c r="O18" s="199" t="s">
        <v>286</v>
      </c>
      <c r="P18" s="199"/>
      <c r="Q18" s="199"/>
      <c r="R18" s="199"/>
      <c r="S18" s="200"/>
      <c r="T18" s="200"/>
      <c r="U18" s="200"/>
      <c r="V18" s="137" t="str">
        <f t="shared" si="0"/>
        <v/>
      </c>
      <c r="W18" s="201">
        <v>0.81</v>
      </c>
      <c r="X18" s="138" t="str">
        <f t="shared" si="1"/>
        <v/>
      </c>
      <c r="Y18" s="232" t="str">
        <f>+J18</f>
        <v>SE pine</v>
      </c>
      <c r="Z18" s="157" t="s">
        <v>814</v>
      </c>
      <c r="AA18" s="157" t="s">
        <v>815</v>
      </c>
      <c r="AB18" s="157" t="s">
        <v>816</v>
      </c>
      <c r="AC18" s="157" t="s">
        <v>817</v>
      </c>
      <c r="AD18" s="157" t="s">
        <v>818</v>
      </c>
      <c r="AE18" s="157" t="s">
        <v>819</v>
      </c>
    </row>
    <row r="19" spans="1:31" s="95" customFormat="1">
      <c r="A19" s="197">
        <v>142</v>
      </c>
      <c r="B19" s="206" t="s">
        <v>281</v>
      </c>
      <c r="C19" s="199">
        <v>2007</v>
      </c>
      <c r="D19" s="210" t="s">
        <v>282</v>
      </c>
      <c r="E19" s="193" t="s">
        <v>24</v>
      </c>
      <c r="F19" s="199">
        <v>2007</v>
      </c>
      <c r="G19" s="199" t="s">
        <v>20</v>
      </c>
      <c r="H19" s="199" t="s">
        <v>20</v>
      </c>
      <c r="I19" s="199"/>
      <c r="J19" s="194" t="s">
        <v>703</v>
      </c>
      <c r="K19" s="199" t="s">
        <v>647</v>
      </c>
      <c r="L19" s="199"/>
      <c r="M19" s="199" t="s">
        <v>284</v>
      </c>
      <c r="N19" s="199"/>
      <c r="O19" s="199" t="s">
        <v>285</v>
      </c>
      <c r="P19" s="199"/>
      <c r="Q19" s="199"/>
      <c r="R19" s="199"/>
      <c r="S19" s="200"/>
      <c r="T19" s="200"/>
      <c r="U19" s="200"/>
      <c r="V19" s="137" t="str">
        <f t="shared" si="0"/>
        <v/>
      </c>
      <c r="W19" s="201">
        <v>2.0699999999999998</v>
      </c>
      <c r="X19" s="138" t="str">
        <f t="shared" si="1"/>
        <v/>
      </c>
      <c r="Y19" s="228" t="s">
        <v>813</v>
      </c>
      <c r="Z19" s="229">
        <f>AVERAGE($W$18:$W$40)</f>
        <v>1.9612173913043482</v>
      </c>
      <c r="AA19" s="229">
        <f>MEDIAN($W$18:$W$40)</f>
        <v>1.53</v>
      </c>
      <c r="AB19" s="229">
        <f>MAX($W$18:$W$40)</f>
        <v>4.8</v>
      </c>
      <c r="AC19" s="229">
        <f>MIN($W$18:$W$40)</f>
        <v>0.23</v>
      </c>
      <c r="AD19" s="229">
        <f>STDEV($W$18:$W$40)</f>
        <v>1.1293366901344308</v>
      </c>
      <c r="AE19" s="230">
        <f>COUNT($W$18:$W$40)</f>
        <v>23</v>
      </c>
    </row>
    <row r="20" spans="1:31" s="95" customFormat="1">
      <c r="A20" s="197">
        <v>144</v>
      </c>
      <c r="B20" s="206" t="s">
        <v>36</v>
      </c>
      <c r="C20" s="202">
        <v>1980</v>
      </c>
      <c r="D20" s="206" t="s">
        <v>287</v>
      </c>
      <c r="E20" s="193" t="s">
        <v>16</v>
      </c>
      <c r="F20" s="199"/>
      <c r="G20" s="199"/>
      <c r="H20" s="199"/>
      <c r="I20" s="199"/>
      <c r="J20" s="194" t="s">
        <v>703</v>
      </c>
      <c r="K20" s="199" t="s">
        <v>699</v>
      </c>
      <c r="L20" s="220" t="s">
        <v>297</v>
      </c>
      <c r="M20" s="199"/>
      <c r="N20" s="199"/>
      <c r="O20" s="199"/>
      <c r="P20" s="199"/>
      <c r="Q20" s="199"/>
      <c r="R20" s="199"/>
      <c r="S20" s="200"/>
      <c r="T20" s="200"/>
      <c r="U20" s="200"/>
      <c r="V20" s="137" t="str">
        <f t="shared" si="0"/>
        <v/>
      </c>
      <c r="W20" s="201">
        <v>4.29</v>
      </c>
      <c r="X20" s="138" t="str">
        <f t="shared" si="1"/>
        <v/>
      </c>
    </row>
    <row r="21" spans="1:31" s="95" customFormat="1">
      <c r="A21" s="197">
        <v>144</v>
      </c>
      <c r="B21" s="206" t="s">
        <v>36</v>
      </c>
      <c r="C21" s="202">
        <v>1980</v>
      </c>
      <c r="D21" s="206" t="s">
        <v>287</v>
      </c>
      <c r="E21" s="193" t="s">
        <v>16</v>
      </c>
      <c r="F21" s="199"/>
      <c r="G21" s="199"/>
      <c r="H21" s="199"/>
      <c r="I21" s="199"/>
      <c r="J21" s="194" t="s">
        <v>703</v>
      </c>
      <c r="K21" s="199" t="s">
        <v>695</v>
      </c>
      <c r="L21" s="220" t="s">
        <v>290</v>
      </c>
      <c r="M21" s="199"/>
      <c r="N21" s="199"/>
      <c r="O21" s="199"/>
      <c r="P21" s="199"/>
      <c r="Q21" s="199"/>
      <c r="R21" s="199"/>
      <c r="S21" s="200"/>
      <c r="T21" s="200"/>
      <c r="U21" s="200"/>
      <c r="V21" s="137" t="str">
        <f t="shared" si="0"/>
        <v/>
      </c>
      <c r="W21" s="201">
        <v>0.97</v>
      </c>
      <c r="X21" s="138" t="str">
        <f t="shared" si="1"/>
        <v/>
      </c>
    </row>
    <row r="22" spans="1:31" s="95" customFormat="1">
      <c r="A22" s="197">
        <v>144</v>
      </c>
      <c r="B22" s="206" t="s">
        <v>36</v>
      </c>
      <c r="C22" s="202">
        <v>1980</v>
      </c>
      <c r="D22" s="206" t="s">
        <v>287</v>
      </c>
      <c r="E22" s="193" t="s">
        <v>16</v>
      </c>
      <c r="F22" s="199"/>
      <c r="G22" s="199"/>
      <c r="H22" s="199"/>
      <c r="I22" s="199"/>
      <c r="J22" s="194" t="s">
        <v>703</v>
      </c>
      <c r="K22" s="199" t="s">
        <v>697</v>
      </c>
      <c r="L22" s="220" t="s">
        <v>291</v>
      </c>
      <c r="M22" s="199"/>
      <c r="N22" s="199"/>
      <c r="O22" s="199"/>
      <c r="P22" s="199"/>
      <c r="Q22" s="199"/>
      <c r="R22" s="199"/>
      <c r="S22" s="200"/>
      <c r="T22" s="200"/>
      <c r="U22" s="200"/>
      <c r="V22" s="137" t="str">
        <f t="shared" si="0"/>
        <v/>
      </c>
      <c r="W22" s="201">
        <v>1.49</v>
      </c>
      <c r="X22" s="138" t="str">
        <f t="shared" si="1"/>
        <v/>
      </c>
    </row>
    <row r="23" spans="1:31" s="95" customFormat="1">
      <c r="A23" s="197">
        <v>144</v>
      </c>
      <c r="B23" s="206" t="s">
        <v>36</v>
      </c>
      <c r="C23" s="202">
        <v>1980</v>
      </c>
      <c r="D23" s="206" t="s">
        <v>287</v>
      </c>
      <c r="E23" s="193" t="s">
        <v>16</v>
      </c>
      <c r="F23" s="199"/>
      <c r="G23" s="199"/>
      <c r="H23" s="199"/>
      <c r="I23" s="199"/>
      <c r="J23" s="194" t="s">
        <v>703</v>
      </c>
      <c r="K23" s="199" t="s">
        <v>698</v>
      </c>
      <c r="L23" s="220" t="s">
        <v>293</v>
      </c>
      <c r="M23" s="199"/>
      <c r="N23" s="199"/>
      <c r="O23" s="199"/>
      <c r="P23" s="199"/>
      <c r="Q23" s="199"/>
      <c r="R23" s="199"/>
      <c r="S23" s="200"/>
      <c r="T23" s="200"/>
      <c r="U23" s="200"/>
      <c r="V23" s="137" t="str">
        <f t="shared" si="0"/>
        <v/>
      </c>
      <c r="W23" s="201">
        <v>3.42</v>
      </c>
      <c r="X23" s="138" t="str">
        <f t="shared" si="1"/>
        <v/>
      </c>
    </row>
    <row r="24" spans="1:31" s="95" customFormat="1">
      <c r="A24" s="197">
        <v>144</v>
      </c>
      <c r="B24" s="206" t="s">
        <v>36</v>
      </c>
      <c r="C24" s="202">
        <v>1980</v>
      </c>
      <c r="D24" s="206" t="s">
        <v>287</v>
      </c>
      <c r="E24" s="193" t="s">
        <v>16</v>
      </c>
      <c r="F24" s="199"/>
      <c r="G24" s="199"/>
      <c r="H24" s="199"/>
      <c r="I24" s="199"/>
      <c r="J24" s="194" t="s">
        <v>703</v>
      </c>
      <c r="K24" s="199" t="s">
        <v>696</v>
      </c>
      <c r="L24" s="220" t="s">
        <v>292</v>
      </c>
      <c r="M24" s="199"/>
      <c r="N24" s="199"/>
      <c r="O24" s="199"/>
      <c r="P24" s="199"/>
      <c r="Q24" s="199"/>
      <c r="R24" s="199"/>
      <c r="S24" s="200"/>
      <c r="T24" s="200"/>
      <c r="U24" s="200"/>
      <c r="V24" s="137" t="str">
        <f t="shared" si="0"/>
        <v/>
      </c>
      <c r="W24" s="201">
        <v>1.33</v>
      </c>
      <c r="X24" s="138" t="str">
        <f t="shared" si="1"/>
        <v/>
      </c>
    </row>
    <row r="25" spans="1:31" s="95" customFormat="1">
      <c r="A25" s="197">
        <v>144</v>
      </c>
      <c r="B25" s="202" t="s">
        <v>36</v>
      </c>
      <c r="C25" s="202">
        <v>1980</v>
      </c>
      <c r="D25" s="202" t="s">
        <v>287</v>
      </c>
      <c r="E25" s="193" t="s">
        <v>16</v>
      </c>
      <c r="F25" s="199"/>
      <c r="G25" s="199"/>
      <c r="H25" s="199"/>
      <c r="I25" s="199"/>
      <c r="J25" s="194" t="s">
        <v>703</v>
      </c>
      <c r="K25" s="199" t="s">
        <v>694</v>
      </c>
      <c r="L25" s="220" t="s">
        <v>289</v>
      </c>
      <c r="M25" s="199"/>
      <c r="N25" s="199"/>
      <c r="O25" s="199"/>
      <c r="P25" s="199"/>
      <c r="Q25" s="199"/>
      <c r="R25" s="199"/>
      <c r="S25" s="200"/>
      <c r="T25" s="200"/>
      <c r="U25" s="200"/>
      <c r="V25" s="137" t="str">
        <f t="shared" si="0"/>
        <v/>
      </c>
      <c r="W25" s="201">
        <v>0.23</v>
      </c>
      <c r="X25" s="138" t="str">
        <f t="shared" si="1"/>
        <v/>
      </c>
    </row>
    <row r="26" spans="1:31" s="95" customFormat="1">
      <c r="A26" s="190"/>
      <c r="B26" s="199" t="s">
        <v>540</v>
      </c>
      <c r="C26" s="199">
        <v>2013</v>
      </c>
      <c r="D26" s="206" t="s">
        <v>541</v>
      </c>
      <c r="E26" s="193" t="s">
        <v>24</v>
      </c>
      <c r="F26" s="213"/>
      <c r="G26" s="199"/>
      <c r="H26" s="199" t="s">
        <v>20</v>
      </c>
      <c r="I26" s="199"/>
      <c r="J26" s="194" t="s">
        <v>703</v>
      </c>
      <c r="K26" s="220" t="s">
        <v>648</v>
      </c>
      <c r="L26" s="199" t="s">
        <v>543</v>
      </c>
      <c r="M26" s="190"/>
      <c r="N26" s="190"/>
      <c r="O26" s="190"/>
      <c r="P26" s="190"/>
      <c r="Q26" s="190"/>
      <c r="R26" s="190"/>
      <c r="S26" s="195">
        <v>0.99</v>
      </c>
      <c r="T26" s="195"/>
      <c r="U26" s="195">
        <f>+S26</f>
        <v>0.99</v>
      </c>
      <c r="V26" s="137">
        <f t="shared" si="0"/>
        <v>0.99</v>
      </c>
      <c r="W26" s="196">
        <v>1.51</v>
      </c>
      <c r="X26" s="138" t="str">
        <f t="shared" si="1"/>
        <v>F</v>
      </c>
    </row>
    <row r="27" spans="1:31" s="95" customFormat="1">
      <c r="A27" s="190"/>
      <c r="B27" s="199" t="s">
        <v>540</v>
      </c>
      <c r="C27" s="199">
        <v>2013</v>
      </c>
      <c r="D27" s="206" t="s">
        <v>541</v>
      </c>
      <c r="E27" s="193" t="s">
        <v>24</v>
      </c>
      <c r="F27" s="213"/>
      <c r="G27" s="199"/>
      <c r="H27" s="199" t="s">
        <v>20</v>
      </c>
      <c r="I27" s="199"/>
      <c r="J27" s="194" t="s">
        <v>703</v>
      </c>
      <c r="K27" s="220" t="s">
        <v>648</v>
      </c>
      <c r="L27" s="199" t="s">
        <v>543</v>
      </c>
      <c r="M27" s="190"/>
      <c r="N27" s="190"/>
      <c r="O27" s="190"/>
      <c r="P27" s="190"/>
      <c r="Q27" s="190"/>
      <c r="R27" s="190"/>
      <c r="S27" s="195">
        <v>0.97</v>
      </c>
      <c r="T27" s="195"/>
      <c r="U27" s="195">
        <f>+S27</f>
        <v>0.97</v>
      </c>
      <c r="V27" s="137">
        <f t="shared" si="0"/>
        <v>0.97</v>
      </c>
      <c r="W27" s="196">
        <v>4.8</v>
      </c>
      <c r="X27" s="138" t="str">
        <f t="shared" si="1"/>
        <v>F</v>
      </c>
    </row>
    <row r="28" spans="1:31" s="95" customFormat="1">
      <c r="A28" s="194"/>
      <c r="B28" s="194" t="s">
        <v>552</v>
      </c>
      <c r="C28" s="194">
        <v>2011</v>
      </c>
      <c r="D28" s="194"/>
      <c r="E28" s="193" t="s">
        <v>56</v>
      </c>
      <c r="F28" s="194"/>
      <c r="G28" s="194"/>
      <c r="H28" s="194" t="s">
        <v>553</v>
      </c>
      <c r="I28" s="194"/>
      <c r="J28" s="194" t="s">
        <v>703</v>
      </c>
      <c r="K28" s="194" t="s">
        <v>610</v>
      </c>
      <c r="L28" s="190" t="s">
        <v>578</v>
      </c>
      <c r="M28" s="194"/>
      <c r="N28" s="194"/>
      <c r="O28" s="194" t="s">
        <v>560</v>
      </c>
      <c r="P28" s="194"/>
      <c r="Q28" s="194"/>
      <c r="R28" s="194"/>
      <c r="S28" s="219"/>
      <c r="T28" s="219"/>
      <c r="U28" s="219">
        <v>0.95699999999999996</v>
      </c>
      <c r="V28" s="137">
        <f t="shared" si="0"/>
        <v>0.95699999999999996</v>
      </c>
      <c r="W28" s="219">
        <v>1.53</v>
      </c>
      <c r="X28" s="138" t="str">
        <f t="shared" si="1"/>
        <v>F</v>
      </c>
    </row>
    <row r="29" spans="1:31" s="95" customFormat="1">
      <c r="A29" s="197">
        <v>173</v>
      </c>
      <c r="B29" s="199" t="s">
        <v>302</v>
      </c>
      <c r="C29" s="199">
        <v>2011</v>
      </c>
      <c r="D29" s="206" t="s">
        <v>352</v>
      </c>
      <c r="E29" s="193" t="s">
        <v>354</v>
      </c>
      <c r="F29" s="213" t="s">
        <v>358</v>
      </c>
      <c r="G29" s="199" t="s">
        <v>359</v>
      </c>
      <c r="H29" s="199" t="s">
        <v>20</v>
      </c>
      <c r="I29" s="199"/>
      <c r="J29" s="194" t="s">
        <v>703</v>
      </c>
      <c r="K29" s="199" t="s">
        <v>615</v>
      </c>
      <c r="L29" s="199" t="s">
        <v>356</v>
      </c>
      <c r="M29" s="217"/>
      <c r="N29" s="217"/>
      <c r="O29" s="199" t="s">
        <v>362</v>
      </c>
      <c r="P29" s="202"/>
      <c r="Q29" s="202"/>
      <c r="R29" s="199"/>
      <c r="S29" s="200"/>
      <c r="T29" s="200"/>
      <c r="U29" s="218">
        <v>0.95699999999999996</v>
      </c>
      <c r="V29" s="137">
        <f t="shared" si="0"/>
        <v>0.95699999999999996</v>
      </c>
      <c r="W29" s="201">
        <v>2.78</v>
      </c>
      <c r="X29" s="138" t="str">
        <f t="shared" si="1"/>
        <v>F</v>
      </c>
    </row>
    <row r="30" spans="1:31" s="95" customFormat="1">
      <c r="A30" s="197">
        <v>173</v>
      </c>
      <c r="B30" s="199" t="s">
        <v>302</v>
      </c>
      <c r="C30" s="199">
        <v>2011</v>
      </c>
      <c r="D30" s="206" t="s">
        <v>352</v>
      </c>
      <c r="E30" s="193" t="s">
        <v>354</v>
      </c>
      <c r="F30" s="213" t="s">
        <v>358</v>
      </c>
      <c r="G30" s="199" t="s">
        <v>359</v>
      </c>
      <c r="H30" s="199" t="s">
        <v>20</v>
      </c>
      <c r="I30" s="199"/>
      <c r="J30" s="194" t="s">
        <v>703</v>
      </c>
      <c r="K30" s="199" t="s">
        <v>622</v>
      </c>
      <c r="L30" s="199" t="s">
        <v>360</v>
      </c>
      <c r="M30" s="217"/>
      <c r="N30" s="217"/>
      <c r="O30" s="199" t="s">
        <v>361</v>
      </c>
      <c r="P30" s="202"/>
      <c r="Q30" s="202"/>
      <c r="R30" s="199"/>
      <c r="S30" s="200"/>
      <c r="T30" s="200"/>
      <c r="U30" s="218">
        <v>0.95099999999999996</v>
      </c>
      <c r="V30" s="137">
        <f t="shared" si="0"/>
        <v>0.95099999999999996</v>
      </c>
      <c r="W30" s="201">
        <v>2.89</v>
      </c>
      <c r="X30" s="138" t="str">
        <f t="shared" si="1"/>
        <v>F</v>
      </c>
    </row>
    <row r="31" spans="1:31" s="95" customFormat="1">
      <c r="A31" s="197">
        <v>173</v>
      </c>
      <c r="B31" s="199" t="s">
        <v>302</v>
      </c>
      <c r="C31" s="199">
        <v>2011</v>
      </c>
      <c r="D31" s="206" t="s">
        <v>352</v>
      </c>
      <c r="E31" s="193" t="s">
        <v>354</v>
      </c>
      <c r="F31" s="213" t="s">
        <v>366</v>
      </c>
      <c r="G31" s="199" t="s">
        <v>258</v>
      </c>
      <c r="H31" s="199" t="s">
        <v>20</v>
      </c>
      <c r="I31" s="199"/>
      <c r="J31" s="194" t="s">
        <v>703</v>
      </c>
      <c r="K31" s="199" t="s">
        <v>621</v>
      </c>
      <c r="L31" s="199" t="s">
        <v>367</v>
      </c>
      <c r="M31" s="217"/>
      <c r="N31" s="217"/>
      <c r="O31" s="199" t="s">
        <v>368</v>
      </c>
      <c r="P31" s="202"/>
      <c r="Q31" s="202"/>
      <c r="R31" s="199"/>
      <c r="S31" s="200"/>
      <c r="T31" s="200"/>
      <c r="U31" s="218">
        <v>0.94499999999999995</v>
      </c>
      <c r="V31" s="137">
        <f t="shared" si="0"/>
        <v>0.94499999999999995</v>
      </c>
      <c r="W31" s="201">
        <v>2.2999999999999998</v>
      </c>
      <c r="X31" s="138" t="str">
        <f t="shared" si="1"/>
        <v>F</v>
      </c>
    </row>
    <row r="32" spans="1:31" s="95" customFormat="1">
      <c r="A32" s="197">
        <v>173</v>
      </c>
      <c r="B32" s="199" t="s">
        <v>302</v>
      </c>
      <c r="C32" s="199">
        <v>2011</v>
      </c>
      <c r="D32" s="206" t="s">
        <v>352</v>
      </c>
      <c r="E32" s="193" t="s">
        <v>354</v>
      </c>
      <c r="F32" s="213" t="s">
        <v>355</v>
      </c>
      <c r="G32" s="199" t="s">
        <v>258</v>
      </c>
      <c r="H32" s="199" t="s">
        <v>20</v>
      </c>
      <c r="I32" s="199"/>
      <c r="J32" s="194" t="s">
        <v>703</v>
      </c>
      <c r="K32" s="199" t="s">
        <v>620</v>
      </c>
      <c r="L32" s="199" t="s">
        <v>356</v>
      </c>
      <c r="M32" s="217"/>
      <c r="N32" s="217"/>
      <c r="O32" s="199" t="s">
        <v>357</v>
      </c>
      <c r="P32" s="202"/>
      <c r="Q32" s="202"/>
      <c r="R32" s="199"/>
      <c r="S32" s="200"/>
      <c r="T32" s="200"/>
      <c r="U32" s="218">
        <v>0.94299999999999995</v>
      </c>
      <c r="V32" s="137">
        <f t="shared" si="0"/>
        <v>0.94299999999999995</v>
      </c>
      <c r="W32" s="201">
        <v>2.94</v>
      </c>
      <c r="X32" s="138" t="str">
        <f t="shared" si="1"/>
        <v>F</v>
      </c>
    </row>
    <row r="33" spans="1:31" s="95" customFormat="1">
      <c r="A33" s="194"/>
      <c r="B33" s="194" t="s">
        <v>552</v>
      </c>
      <c r="C33" s="194">
        <v>2011</v>
      </c>
      <c r="D33" s="194"/>
      <c r="E33" s="193" t="s">
        <v>56</v>
      </c>
      <c r="F33" s="194"/>
      <c r="G33" s="194"/>
      <c r="H33" s="194" t="s">
        <v>553</v>
      </c>
      <c r="I33" s="194"/>
      <c r="J33" s="194" t="s">
        <v>703</v>
      </c>
      <c r="K33" s="194" t="s">
        <v>610</v>
      </c>
      <c r="L33" s="190" t="s">
        <v>418</v>
      </c>
      <c r="M33" s="194"/>
      <c r="N33" s="194" t="s">
        <v>574</v>
      </c>
      <c r="O33" s="194" t="s">
        <v>556</v>
      </c>
      <c r="P33" s="194"/>
      <c r="Q33" s="194"/>
      <c r="R33" s="194"/>
      <c r="S33" s="219"/>
      <c r="T33" s="219"/>
      <c r="U33" s="219">
        <v>0.93500000000000005</v>
      </c>
      <c r="V33" s="137">
        <f t="shared" si="0"/>
        <v>0.93500000000000005</v>
      </c>
      <c r="W33" s="219">
        <v>1.25</v>
      </c>
      <c r="X33" s="138" t="str">
        <f t="shared" si="1"/>
        <v>F</v>
      </c>
    </row>
    <row r="34" spans="1:31" s="95" customFormat="1">
      <c r="A34" s="194"/>
      <c r="B34" s="194" t="s">
        <v>552</v>
      </c>
      <c r="C34" s="194">
        <v>2011</v>
      </c>
      <c r="D34" s="194"/>
      <c r="E34" s="193" t="s">
        <v>56</v>
      </c>
      <c r="F34" s="194"/>
      <c r="G34" s="194"/>
      <c r="H34" s="194" t="s">
        <v>553</v>
      </c>
      <c r="I34" s="194"/>
      <c r="J34" s="194" t="s">
        <v>703</v>
      </c>
      <c r="K34" s="194" t="s">
        <v>610</v>
      </c>
      <c r="L34" s="190" t="s">
        <v>418</v>
      </c>
      <c r="M34" s="194"/>
      <c r="N34" s="194" t="s">
        <v>577</v>
      </c>
      <c r="O34" s="194" t="s">
        <v>559</v>
      </c>
      <c r="P34" s="194"/>
      <c r="Q34" s="194"/>
      <c r="R34" s="194"/>
      <c r="S34" s="219"/>
      <c r="T34" s="219"/>
      <c r="U34" s="219">
        <v>0.93300000000000005</v>
      </c>
      <c r="V34" s="137">
        <f t="shared" ref="V34:V65" si="2">IF(R34&lt;&gt;0,IF(R34&gt;1,R34/100,R34),IF(U34&lt;&gt;0,IF(U34&gt;1,U34/100,U34),""))</f>
        <v>0.93300000000000005</v>
      </c>
      <c r="W34" s="219">
        <v>1.17</v>
      </c>
      <c r="X34" s="138" t="str">
        <f t="shared" ref="X34:X65" si="3">IF(V34&lt;&gt;"",IF(V34&lt;0.9,"S","F"),"")</f>
        <v>F</v>
      </c>
    </row>
    <row r="35" spans="1:31" s="95" customFormat="1">
      <c r="A35" s="194"/>
      <c r="B35" s="194" t="s">
        <v>552</v>
      </c>
      <c r="C35" s="194">
        <v>2011</v>
      </c>
      <c r="D35" s="194"/>
      <c r="E35" s="193" t="s">
        <v>56</v>
      </c>
      <c r="F35" s="194"/>
      <c r="G35" s="194"/>
      <c r="H35" s="194" t="s">
        <v>553</v>
      </c>
      <c r="I35" s="194"/>
      <c r="J35" s="194" t="s">
        <v>703</v>
      </c>
      <c r="K35" s="194" t="s">
        <v>610</v>
      </c>
      <c r="L35" s="190" t="s">
        <v>418</v>
      </c>
      <c r="M35" s="194"/>
      <c r="N35" s="194"/>
      <c r="O35" s="194" t="s">
        <v>554</v>
      </c>
      <c r="P35" s="194"/>
      <c r="Q35" s="194"/>
      <c r="R35" s="194"/>
      <c r="S35" s="219"/>
      <c r="T35" s="219"/>
      <c r="U35" s="219">
        <v>0.93200000000000005</v>
      </c>
      <c r="V35" s="137">
        <f t="shared" si="2"/>
        <v>0.93200000000000005</v>
      </c>
      <c r="W35" s="219">
        <v>1.63</v>
      </c>
      <c r="X35" s="138" t="str">
        <f t="shared" si="3"/>
        <v>F</v>
      </c>
    </row>
    <row r="36" spans="1:31" s="95" customFormat="1">
      <c r="A36" s="194"/>
      <c r="B36" s="194" t="s">
        <v>552</v>
      </c>
      <c r="C36" s="194">
        <v>2011</v>
      </c>
      <c r="D36" s="194"/>
      <c r="E36" s="193" t="s">
        <v>56</v>
      </c>
      <c r="F36" s="194"/>
      <c r="G36" s="194"/>
      <c r="H36" s="194" t="s">
        <v>553</v>
      </c>
      <c r="I36" s="194"/>
      <c r="J36" s="194" t="s">
        <v>703</v>
      </c>
      <c r="K36" s="194" t="s">
        <v>610</v>
      </c>
      <c r="L36" s="190" t="s">
        <v>418</v>
      </c>
      <c r="M36" s="194"/>
      <c r="N36" s="194" t="s">
        <v>573</v>
      </c>
      <c r="O36" s="194" t="s">
        <v>555</v>
      </c>
      <c r="P36" s="194"/>
      <c r="Q36" s="194"/>
      <c r="R36" s="194"/>
      <c r="S36" s="219"/>
      <c r="T36" s="219"/>
      <c r="U36" s="219">
        <v>0.91900000000000004</v>
      </c>
      <c r="V36" s="137">
        <f t="shared" si="2"/>
        <v>0.91900000000000004</v>
      </c>
      <c r="W36" s="219">
        <v>1.03</v>
      </c>
      <c r="X36" s="138" t="str">
        <f t="shared" si="3"/>
        <v>F</v>
      </c>
    </row>
    <row r="37" spans="1:31" s="95" customFormat="1">
      <c r="A37" s="194"/>
      <c r="B37" s="194" t="s">
        <v>552</v>
      </c>
      <c r="C37" s="194">
        <v>2011</v>
      </c>
      <c r="D37" s="194"/>
      <c r="E37" s="193" t="s">
        <v>56</v>
      </c>
      <c r="F37" s="194"/>
      <c r="G37" s="194"/>
      <c r="H37" s="194" t="s">
        <v>553</v>
      </c>
      <c r="I37" s="194"/>
      <c r="J37" s="194" t="s">
        <v>703</v>
      </c>
      <c r="K37" s="199" t="s">
        <v>647</v>
      </c>
      <c r="L37" s="190" t="s">
        <v>575</v>
      </c>
      <c r="M37" s="194"/>
      <c r="N37" s="194"/>
      <c r="O37" s="194" t="s">
        <v>557</v>
      </c>
      <c r="P37" s="194"/>
      <c r="Q37" s="194"/>
      <c r="R37" s="194"/>
      <c r="S37" s="219"/>
      <c r="T37" s="219"/>
      <c r="U37" s="219">
        <v>0.90400000000000003</v>
      </c>
      <c r="V37" s="137">
        <f t="shared" si="2"/>
        <v>0.90400000000000003</v>
      </c>
      <c r="W37" s="219">
        <v>1.23</v>
      </c>
      <c r="X37" s="138" t="str">
        <f t="shared" si="3"/>
        <v>F</v>
      </c>
    </row>
    <row r="38" spans="1:31" s="95" customFormat="1">
      <c r="A38" s="197">
        <v>172</v>
      </c>
      <c r="B38" s="199" t="s">
        <v>302</v>
      </c>
      <c r="C38" s="199">
        <v>2010</v>
      </c>
      <c r="D38" s="199" t="s">
        <v>303</v>
      </c>
      <c r="E38" s="193" t="s">
        <v>305</v>
      </c>
      <c r="F38" s="213">
        <v>40227</v>
      </c>
      <c r="G38" s="199" t="s">
        <v>332</v>
      </c>
      <c r="H38" s="199" t="s">
        <v>18</v>
      </c>
      <c r="I38" s="199"/>
      <c r="J38" s="194" t="s">
        <v>703</v>
      </c>
      <c r="K38" s="194" t="s">
        <v>627</v>
      </c>
      <c r="L38" s="199" t="s">
        <v>333</v>
      </c>
      <c r="M38" s="214"/>
      <c r="N38" s="214"/>
      <c r="O38" s="199"/>
      <c r="P38" s="202"/>
      <c r="Q38" s="202"/>
      <c r="R38" s="199"/>
      <c r="S38" s="200"/>
      <c r="T38" s="200"/>
      <c r="U38" s="215">
        <v>0.89400000000000002</v>
      </c>
      <c r="V38" s="137">
        <f t="shared" si="2"/>
        <v>0.89400000000000002</v>
      </c>
      <c r="W38" s="216">
        <v>2.468</v>
      </c>
      <c r="X38" s="138" t="str">
        <f t="shared" si="3"/>
        <v>S</v>
      </c>
    </row>
    <row r="39" spans="1:31" s="95" customFormat="1">
      <c r="A39" s="190"/>
      <c r="B39" s="199" t="s">
        <v>540</v>
      </c>
      <c r="C39" s="199">
        <v>2013</v>
      </c>
      <c r="D39" s="206" t="s">
        <v>541</v>
      </c>
      <c r="E39" s="193" t="s">
        <v>24</v>
      </c>
      <c r="F39" s="213"/>
      <c r="G39" s="199"/>
      <c r="H39" s="199" t="s">
        <v>20</v>
      </c>
      <c r="I39" s="199"/>
      <c r="J39" s="194" t="s">
        <v>703</v>
      </c>
      <c r="K39" s="220" t="s">
        <v>648</v>
      </c>
      <c r="L39" s="199" t="s">
        <v>543</v>
      </c>
      <c r="M39" s="190"/>
      <c r="N39" s="190"/>
      <c r="O39" s="190"/>
      <c r="P39" s="190"/>
      <c r="Q39" s="190"/>
      <c r="R39" s="190"/>
      <c r="S39" s="195"/>
      <c r="T39" s="195">
        <v>0.82</v>
      </c>
      <c r="U39" s="195">
        <f>+T39</f>
        <v>0.82</v>
      </c>
      <c r="V39" s="137">
        <f t="shared" si="2"/>
        <v>0.82</v>
      </c>
      <c r="W39" s="196">
        <v>1.2</v>
      </c>
      <c r="X39" s="138" t="str">
        <f t="shared" si="3"/>
        <v>S</v>
      </c>
    </row>
    <row r="40" spans="1:31" s="95" customFormat="1">
      <c r="A40" s="190"/>
      <c r="B40" s="199" t="s">
        <v>540</v>
      </c>
      <c r="C40" s="199">
        <v>2013</v>
      </c>
      <c r="D40" s="206" t="s">
        <v>541</v>
      </c>
      <c r="E40" s="193" t="s">
        <v>24</v>
      </c>
      <c r="F40" s="213"/>
      <c r="G40" s="199"/>
      <c r="H40" s="199" t="s">
        <v>20</v>
      </c>
      <c r="I40" s="199"/>
      <c r="J40" s="194" t="s">
        <v>703</v>
      </c>
      <c r="K40" s="220" t="s">
        <v>648</v>
      </c>
      <c r="L40" s="199" t="s">
        <v>543</v>
      </c>
      <c r="M40" s="190"/>
      <c r="N40" s="190"/>
      <c r="O40" s="190"/>
      <c r="P40" s="190"/>
      <c r="Q40" s="190"/>
      <c r="R40" s="190"/>
      <c r="S40" s="195"/>
      <c r="T40" s="195">
        <v>0.76</v>
      </c>
      <c r="U40" s="195">
        <f>+T40</f>
        <v>0.76</v>
      </c>
      <c r="V40" s="137">
        <f t="shared" si="2"/>
        <v>0.76</v>
      </c>
      <c r="W40" s="196">
        <v>1.77</v>
      </c>
      <c r="X40" s="138" t="str">
        <f t="shared" si="3"/>
        <v>S</v>
      </c>
    </row>
    <row r="41" spans="1:31">
      <c r="A41" s="47">
        <v>203</v>
      </c>
      <c r="B41" s="105" t="s">
        <v>527</v>
      </c>
      <c r="C41" s="48">
        <v>2011</v>
      </c>
      <c r="D41" s="105" t="s">
        <v>528</v>
      </c>
      <c r="E41" s="46" t="s">
        <v>16</v>
      </c>
      <c r="F41" s="48">
        <v>2009</v>
      </c>
      <c r="G41" s="48" t="s">
        <v>125</v>
      </c>
      <c r="H41" s="48"/>
      <c r="I41" s="48"/>
      <c r="J41" s="87" t="s">
        <v>593</v>
      </c>
      <c r="K41" s="48" t="s">
        <v>633</v>
      </c>
      <c r="L41" s="48" t="s">
        <v>430</v>
      </c>
      <c r="M41" s="48"/>
      <c r="N41" s="48"/>
      <c r="O41" s="48">
        <v>47</v>
      </c>
      <c r="P41" s="48"/>
      <c r="Q41" s="48"/>
      <c r="R41" s="48"/>
      <c r="S41" s="53"/>
      <c r="T41" s="53"/>
      <c r="U41" s="53">
        <v>0.95</v>
      </c>
      <c r="V41" s="134">
        <f t="shared" si="2"/>
        <v>0.95</v>
      </c>
      <c r="W41" s="180">
        <v>2.7</v>
      </c>
      <c r="X41" s="135" t="str">
        <f t="shared" si="3"/>
        <v>F</v>
      </c>
      <c r="Y41" s="179" t="str">
        <f>+J41</f>
        <v>SE shrub</v>
      </c>
      <c r="Z41" s="175" t="s">
        <v>814</v>
      </c>
      <c r="AA41" s="175" t="s">
        <v>815</v>
      </c>
      <c r="AB41" s="175" t="s">
        <v>816</v>
      </c>
      <c r="AC41" s="175" t="s">
        <v>817</v>
      </c>
      <c r="AD41" s="175" t="s">
        <v>818</v>
      </c>
      <c r="AE41" s="175" t="s">
        <v>819</v>
      </c>
    </row>
    <row r="42" spans="1:31">
      <c r="A42" s="47">
        <v>203</v>
      </c>
      <c r="B42" s="105" t="s">
        <v>527</v>
      </c>
      <c r="C42" s="48">
        <v>2011</v>
      </c>
      <c r="D42" s="105" t="s">
        <v>528</v>
      </c>
      <c r="E42" s="46" t="s">
        <v>16</v>
      </c>
      <c r="F42" s="48">
        <v>2009</v>
      </c>
      <c r="G42" s="48" t="s">
        <v>125</v>
      </c>
      <c r="H42" s="48"/>
      <c r="I42" s="48"/>
      <c r="J42" s="87" t="s">
        <v>593</v>
      </c>
      <c r="K42" s="48" t="s">
        <v>633</v>
      </c>
      <c r="L42" s="48" t="s">
        <v>430</v>
      </c>
      <c r="M42" s="48"/>
      <c r="N42" s="48"/>
      <c r="O42" s="48">
        <v>65</v>
      </c>
      <c r="P42" s="48"/>
      <c r="Q42" s="48"/>
      <c r="R42" s="48"/>
      <c r="S42" s="53"/>
      <c r="T42" s="53"/>
      <c r="U42" s="53">
        <v>0.93</v>
      </c>
      <c r="V42" s="134">
        <f t="shared" si="2"/>
        <v>0.93</v>
      </c>
      <c r="W42" s="180">
        <v>3.9</v>
      </c>
      <c r="X42" s="135" t="str">
        <f t="shared" si="3"/>
        <v>F</v>
      </c>
      <c r="Y42" s="175" t="s">
        <v>813</v>
      </c>
      <c r="Z42" s="176">
        <f>AVERAGE($W$41:$W$47)</f>
        <v>4.2264285714285714</v>
      </c>
      <c r="AA42" s="176">
        <f>MEDIAN($W$41:$W$47)</f>
        <v>3.9</v>
      </c>
      <c r="AB42" s="176">
        <f>MAX($W$41:$W$47)</f>
        <v>6.79</v>
      </c>
      <c r="AC42" s="176">
        <f>MIN($W$41:$W$47)</f>
        <v>2.0249999999999999</v>
      </c>
      <c r="AD42" s="176">
        <f>STDEV($W$41:$W$47)</f>
        <v>1.8402144673146892</v>
      </c>
      <c r="AE42" s="231">
        <f>COUNT($W$41:$W$47)</f>
        <v>7</v>
      </c>
    </row>
    <row r="43" spans="1:31">
      <c r="A43" s="47">
        <v>144</v>
      </c>
      <c r="B43" s="74" t="s">
        <v>36</v>
      </c>
      <c r="C43" s="52">
        <v>1980</v>
      </c>
      <c r="D43" s="74" t="s">
        <v>287</v>
      </c>
      <c r="E43" s="46" t="s">
        <v>16</v>
      </c>
      <c r="F43" s="48"/>
      <c r="G43" s="48"/>
      <c r="H43" s="48"/>
      <c r="I43" s="48"/>
      <c r="J43" s="87" t="s">
        <v>593</v>
      </c>
      <c r="K43" s="48" t="s">
        <v>711</v>
      </c>
      <c r="L43" s="70" t="s">
        <v>298</v>
      </c>
      <c r="M43" s="48"/>
      <c r="N43" s="48"/>
      <c r="O43" s="48"/>
      <c r="P43" s="48"/>
      <c r="Q43" s="48"/>
      <c r="R43" s="48"/>
      <c r="S43" s="53"/>
      <c r="T43" s="53"/>
      <c r="U43" s="53"/>
      <c r="V43" s="134" t="str">
        <f t="shared" si="2"/>
        <v/>
      </c>
      <c r="W43" s="180">
        <v>6.79</v>
      </c>
      <c r="X43" s="135" t="str">
        <f t="shared" si="3"/>
        <v/>
      </c>
    </row>
    <row r="44" spans="1:31">
      <c r="A44" s="47">
        <v>172</v>
      </c>
      <c r="B44" s="48" t="s">
        <v>302</v>
      </c>
      <c r="C44" s="48">
        <v>2010</v>
      </c>
      <c r="D44" s="48" t="s">
        <v>303</v>
      </c>
      <c r="E44" s="46" t="s">
        <v>305</v>
      </c>
      <c r="F44" s="50">
        <v>40230</v>
      </c>
      <c r="G44" s="48" t="s">
        <v>258</v>
      </c>
      <c r="H44" s="48" t="s">
        <v>20</v>
      </c>
      <c r="I44" s="48"/>
      <c r="J44" s="87" t="s">
        <v>593</v>
      </c>
      <c r="K44" s="48" t="s">
        <v>609</v>
      </c>
      <c r="L44" s="48" t="s">
        <v>336</v>
      </c>
      <c r="M44" s="56" t="s">
        <v>337</v>
      </c>
      <c r="N44" s="56" t="s">
        <v>338</v>
      </c>
      <c r="O44" s="48"/>
      <c r="P44" s="52"/>
      <c r="Q44" s="52"/>
      <c r="R44" s="48"/>
      <c r="S44" s="53"/>
      <c r="T44" s="53"/>
      <c r="U44" s="55">
        <v>0.95299999999999996</v>
      </c>
      <c r="V44" s="134">
        <f t="shared" si="2"/>
        <v>0.95299999999999996</v>
      </c>
      <c r="W44" s="183">
        <v>2.0249999999999999</v>
      </c>
      <c r="X44" s="135" t="str">
        <f t="shared" si="3"/>
        <v>F</v>
      </c>
    </row>
    <row r="45" spans="1:31">
      <c r="A45" s="47">
        <v>203</v>
      </c>
      <c r="B45" s="105" t="s">
        <v>527</v>
      </c>
      <c r="C45" s="48">
        <v>2011</v>
      </c>
      <c r="D45" s="105" t="s">
        <v>528</v>
      </c>
      <c r="E45" s="46" t="s">
        <v>16</v>
      </c>
      <c r="F45" s="48">
        <v>2009</v>
      </c>
      <c r="G45" s="48" t="s">
        <v>125</v>
      </c>
      <c r="H45" s="48"/>
      <c r="I45" s="48"/>
      <c r="J45" s="87" t="s">
        <v>593</v>
      </c>
      <c r="K45" s="48" t="s">
        <v>609</v>
      </c>
      <c r="L45" s="48" t="s">
        <v>533</v>
      </c>
      <c r="M45" s="48"/>
      <c r="N45" s="48"/>
      <c r="O45" s="48">
        <v>63</v>
      </c>
      <c r="P45" s="48"/>
      <c r="Q45" s="48"/>
      <c r="R45" s="48"/>
      <c r="S45" s="53"/>
      <c r="T45" s="53"/>
      <c r="U45" s="53">
        <v>0.96</v>
      </c>
      <c r="V45" s="134">
        <f t="shared" si="2"/>
        <v>0.96</v>
      </c>
      <c r="W45" s="180">
        <v>2.8</v>
      </c>
      <c r="X45" s="135" t="str">
        <f t="shared" si="3"/>
        <v>F</v>
      </c>
    </row>
    <row r="46" spans="1:31">
      <c r="A46" s="47">
        <v>144</v>
      </c>
      <c r="B46" s="74" t="s">
        <v>36</v>
      </c>
      <c r="C46" s="52">
        <v>1980</v>
      </c>
      <c r="D46" s="74" t="s">
        <v>287</v>
      </c>
      <c r="E46" s="46" t="s">
        <v>16</v>
      </c>
      <c r="F46" s="48"/>
      <c r="G46" s="48"/>
      <c r="H46" s="48"/>
      <c r="I46" s="48"/>
      <c r="J46" s="87" t="s">
        <v>593</v>
      </c>
      <c r="K46" s="48" t="s">
        <v>631</v>
      </c>
      <c r="L46" s="70" t="s">
        <v>296</v>
      </c>
      <c r="M46" s="48"/>
      <c r="N46" s="48"/>
      <c r="O46" s="48"/>
      <c r="P46" s="48"/>
      <c r="Q46" s="48"/>
      <c r="R46" s="48"/>
      <c r="S46" s="53"/>
      <c r="T46" s="53"/>
      <c r="U46" s="53"/>
      <c r="V46" s="134" t="str">
        <f t="shared" si="2"/>
        <v/>
      </c>
      <c r="W46" s="180">
        <v>5.98</v>
      </c>
      <c r="X46" s="135" t="str">
        <f t="shared" si="3"/>
        <v/>
      </c>
    </row>
    <row r="47" spans="1:31">
      <c r="A47" s="47">
        <v>144</v>
      </c>
      <c r="B47" s="74" t="s">
        <v>36</v>
      </c>
      <c r="C47" s="52">
        <v>1980</v>
      </c>
      <c r="D47" s="74" t="s">
        <v>287</v>
      </c>
      <c r="E47" s="46" t="s">
        <v>16</v>
      </c>
      <c r="F47" s="48"/>
      <c r="G47" s="48"/>
      <c r="H47" s="48"/>
      <c r="I47" s="48"/>
      <c r="J47" s="87" t="s">
        <v>593</v>
      </c>
      <c r="K47" s="48" t="s">
        <v>700</v>
      </c>
      <c r="L47" s="70" t="s">
        <v>294</v>
      </c>
      <c r="M47" s="48"/>
      <c r="N47" s="48"/>
      <c r="O47" s="48"/>
      <c r="P47" s="48"/>
      <c r="Q47" s="48"/>
      <c r="R47" s="48"/>
      <c r="S47" s="53"/>
      <c r="T47" s="53"/>
      <c r="U47" s="53"/>
      <c r="V47" s="134" t="str">
        <f t="shared" si="2"/>
        <v/>
      </c>
      <c r="W47" s="180">
        <v>5.39</v>
      </c>
      <c r="X47" s="135" t="str">
        <f t="shared" si="3"/>
        <v/>
      </c>
    </row>
    <row r="48" spans="1:31" s="95" customFormat="1">
      <c r="A48" s="190"/>
      <c r="B48" s="190" t="s">
        <v>563</v>
      </c>
      <c r="C48" s="191">
        <v>1996</v>
      </c>
      <c r="D48" s="192"/>
      <c r="E48" s="193" t="s">
        <v>56</v>
      </c>
      <c r="F48" s="190"/>
      <c r="G48" s="190"/>
      <c r="H48" s="190" t="s">
        <v>564</v>
      </c>
      <c r="I48" s="190"/>
      <c r="J48" s="194" t="s">
        <v>706</v>
      </c>
      <c r="K48" s="190" t="s">
        <v>701</v>
      </c>
      <c r="L48" s="190" t="s">
        <v>571</v>
      </c>
      <c r="M48" s="190"/>
      <c r="N48" s="190"/>
      <c r="O48" s="190" t="s">
        <v>568</v>
      </c>
      <c r="P48" s="190"/>
      <c r="Q48" s="190"/>
      <c r="R48" s="190"/>
      <c r="S48" s="195"/>
      <c r="T48" s="195"/>
      <c r="U48" s="195"/>
      <c r="V48" s="137" t="str">
        <f t="shared" si="2"/>
        <v/>
      </c>
      <c r="W48" s="221">
        <f>3.4*46/14/2</f>
        <v>5.5857142857142863</v>
      </c>
      <c r="X48" s="138" t="str">
        <f t="shared" si="3"/>
        <v/>
      </c>
      <c r="Y48" s="232" t="str">
        <f>+J48</f>
        <v>W conifer</v>
      </c>
      <c r="Z48" s="157" t="s">
        <v>814</v>
      </c>
      <c r="AA48" s="157" t="s">
        <v>815</v>
      </c>
      <c r="AB48" s="157" t="s">
        <v>816</v>
      </c>
      <c r="AC48" s="157" t="s">
        <v>817</v>
      </c>
      <c r="AD48" s="157" t="s">
        <v>818</v>
      </c>
      <c r="AE48" s="157" t="s">
        <v>819</v>
      </c>
    </row>
    <row r="49" spans="1:31" s="95" customFormat="1">
      <c r="A49" s="190"/>
      <c r="B49" s="190" t="s">
        <v>563</v>
      </c>
      <c r="C49" s="191">
        <v>1996</v>
      </c>
      <c r="D49" s="192"/>
      <c r="E49" s="193" t="s">
        <v>56</v>
      </c>
      <c r="F49" s="190"/>
      <c r="G49" s="190"/>
      <c r="H49" s="190" t="s">
        <v>29</v>
      </c>
      <c r="I49" s="190"/>
      <c r="J49" s="194" t="s">
        <v>706</v>
      </c>
      <c r="K49" s="190" t="s">
        <v>701</v>
      </c>
      <c r="L49" s="190" t="s">
        <v>571</v>
      </c>
      <c r="M49" s="190"/>
      <c r="N49" s="190"/>
      <c r="O49" s="190" t="s">
        <v>567</v>
      </c>
      <c r="P49" s="190"/>
      <c r="Q49" s="190"/>
      <c r="R49" s="190"/>
      <c r="S49" s="195"/>
      <c r="T49" s="195"/>
      <c r="U49" s="195">
        <v>0.9</v>
      </c>
      <c r="V49" s="137">
        <f t="shared" si="2"/>
        <v>0.9</v>
      </c>
      <c r="W49" s="221">
        <f>6.7*46/14/2</f>
        <v>11.007142857142856</v>
      </c>
      <c r="X49" s="138" t="str">
        <f t="shared" si="3"/>
        <v>F</v>
      </c>
      <c r="Y49" s="228" t="s">
        <v>813</v>
      </c>
      <c r="Z49" s="229">
        <f>AVERAGE($W$48:$W$67)</f>
        <v>3.2153</v>
      </c>
      <c r="AA49" s="229">
        <f>MEDIAN($W$48:$W$67)</f>
        <v>2.3296428571428569</v>
      </c>
      <c r="AB49" s="229">
        <f>MAX($W$48:$W$67)</f>
        <v>11.007142857142856</v>
      </c>
      <c r="AC49" s="229">
        <f>MIN($W$48:$W$67)</f>
        <v>0.81</v>
      </c>
      <c r="AD49" s="229">
        <f>STDEV($W$48:$W$67)</f>
        <v>2.5105560131077875</v>
      </c>
      <c r="AE49" s="230">
        <f>COUNT($W$48:$W$67)</f>
        <v>20</v>
      </c>
    </row>
    <row r="50" spans="1:31" s="95" customFormat="1">
      <c r="A50" s="197">
        <v>172</v>
      </c>
      <c r="B50" s="199" t="s">
        <v>302</v>
      </c>
      <c r="C50" s="199">
        <v>2010</v>
      </c>
      <c r="D50" s="199" t="s">
        <v>303</v>
      </c>
      <c r="E50" s="193" t="s">
        <v>305</v>
      </c>
      <c r="F50" s="213">
        <v>40234</v>
      </c>
      <c r="G50" s="199" t="s">
        <v>347</v>
      </c>
      <c r="H50" s="199" t="s">
        <v>49</v>
      </c>
      <c r="I50" s="199"/>
      <c r="J50" s="194" t="s">
        <v>706</v>
      </c>
      <c r="K50" s="199" t="s">
        <v>682</v>
      </c>
      <c r="L50" s="199" t="s">
        <v>348</v>
      </c>
      <c r="M50" s="214" t="s">
        <v>349</v>
      </c>
      <c r="N50" s="214"/>
      <c r="O50" s="199"/>
      <c r="P50" s="202"/>
      <c r="Q50" s="202"/>
      <c r="R50" s="199"/>
      <c r="S50" s="200"/>
      <c r="T50" s="200"/>
      <c r="U50" s="218">
        <v>0.93400000000000005</v>
      </c>
      <c r="V50" s="137">
        <f t="shared" si="2"/>
        <v>0.93400000000000005</v>
      </c>
      <c r="W50" s="222">
        <v>2.7669999999999999</v>
      </c>
      <c r="X50" s="138" t="str">
        <f t="shared" si="3"/>
        <v>F</v>
      </c>
    </row>
    <row r="51" spans="1:31" s="95" customFormat="1">
      <c r="A51" s="197">
        <v>203</v>
      </c>
      <c r="B51" s="198" t="s">
        <v>527</v>
      </c>
      <c r="C51" s="199">
        <v>2011</v>
      </c>
      <c r="D51" s="198" t="s">
        <v>528</v>
      </c>
      <c r="E51" s="193" t="s">
        <v>16</v>
      </c>
      <c r="F51" s="199">
        <v>2009</v>
      </c>
      <c r="G51" s="199" t="s">
        <v>125</v>
      </c>
      <c r="H51" s="199"/>
      <c r="I51" s="199"/>
      <c r="J51" s="194" t="s">
        <v>706</v>
      </c>
      <c r="K51" s="199" t="s">
        <v>661</v>
      </c>
      <c r="L51" s="199" t="s">
        <v>434</v>
      </c>
      <c r="M51" s="199"/>
      <c r="N51" s="199"/>
      <c r="O51" s="199">
        <v>38</v>
      </c>
      <c r="P51" s="199"/>
      <c r="Q51" s="199"/>
      <c r="R51" s="199"/>
      <c r="S51" s="200"/>
      <c r="T51" s="200"/>
      <c r="U51" s="200">
        <v>0.93</v>
      </c>
      <c r="V51" s="137">
        <f t="shared" si="2"/>
        <v>0.93</v>
      </c>
      <c r="W51" s="201">
        <v>3</v>
      </c>
      <c r="X51" s="138" t="str">
        <f t="shared" si="3"/>
        <v>F</v>
      </c>
    </row>
    <row r="52" spans="1:31" s="95" customFormat="1">
      <c r="A52" s="197">
        <v>203</v>
      </c>
      <c r="B52" s="198" t="s">
        <v>527</v>
      </c>
      <c r="C52" s="199">
        <v>2011</v>
      </c>
      <c r="D52" s="198" t="s">
        <v>528</v>
      </c>
      <c r="E52" s="193" t="s">
        <v>16</v>
      </c>
      <c r="F52" s="199">
        <v>2009</v>
      </c>
      <c r="G52" s="199" t="s">
        <v>125</v>
      </c>
      <c r="H52" s="199"/>
      <c r="I52" s="199"/>
      <c r="J52" s="194" t="s">
        <v>706</v>
      </c>
      <c r="K52" s="199" t="s">
        <v>661</v>
      </c>
      <c r="L52" s="199" t="s">
        <v>434</v>
      </c>
      <c r="M52" s="199"/>
      <c r="N52" s="199"/>
      <c r="O52" s="199">
        <v>37</v>
      </c>
      <c r="P52" s="199"/>
      <c r="Q52" s="199"/>
      <c r="R52" s="199"/>
      <c r="S52" s="200"/>
      <c r="T52" s="200"/>
      <c r="U52" s="200">
        <v>0.9</v>
      </c>
      <c r="V52" s="137">
        <f t="shared" si="2"/>
        <v>0.9</v>
      </c>
      <c r="W52" s="201">
        <v>7.6</v>
      </c>
      <c r="X52" s="138" t="str">
        <f t="shared" si="3"/>
        <v>F</v>
      </c>
    </row>
    <row r="53" spans="1:31" s="95" customFormat="1">
      <c r="A53" s="197">
        <v>203</v>
      </c>
      <c r="B53" s="198" t="s">
        <v>527</v>
      </c>
      <c r="C53" s="199">
        <v>2011</v>
      </c>
      <c r="D53" s="198" t="s">
        <v>528</v>
      </c>
      <c r="E53" s="193" t="s">
        <v>16</v>
      </c>
      <c r="F53" s="199">
        <v>2009</v>
      </c>
      <c r="G53" s="199" t="s">
        <v>125</v>
      </c>
      <c r="H53" s="199"/>
      <c r="I53" s="199"/>
      <c r="J53" s="194" t="s">
        <v>706</v>
      </c>
      <c r="K53" s="199" t="s">
        <v>661</v>
      </c>
      <c r="L53" s="199" t="s">
        <v>434</v>
      </c>
      <c r="M53" s="199"/>
      <c r="N53" s="199"/>
      <c r="O53" s="199">
        <v>61</v>
      </c>
      <c r="P53" s="199"/>
      <c r="Q53" s="199"/>
      <c r="R53" s="199"/>
      <c r="S53" s="200"/>
      <c r="T53" s="200"/>
      <c r="U53" s="200">
        <v>0.89</v>
      </c>
      <c r="V53" s="137">
        <f t="shared" si="2"/>
        <v>0.89</v>
      </c>
      <c r="W53" s="201">
        <v>3</v>
      </c>
      <c r="X53" s="138" t="str">
        <f t="shared" si="3"/>
        <v>S</v>
      </c>
    </row>
    <row r="54" spans="1:31" s="95" customFormat="1">
      <c r="A54" s="197">
        <v>63</v>
      </c>
      <c r="B54" s="202" t="s">
        <v>53</v>
      </c>
      <c r="C54" s="202">
        <v>1989</v>
      </c>
      <c r="D54" s="202" t="s">
        <v>54</v>
      </c>
      <c r="E54" s="193" t="s">
        <v>56</v>
      </c>
      <c r="F54" s="199" t="s">
        <v>63</v>
      </c>
      <c r="G54" s="199" t="s">
        <v>46</v>
      </c>
      <c r="H54" s="199" t="s">
        <v>29</v>
      </c>
      <c r="I54" s="199" t="s">
        <v>590</v>
      </c>
      <c r="J54" s="194" t="s">
        <v>706</v>
      </c>
      <c r="K54" s="199" t="s">
        <v>659</v>
      </c>
      <c r="L54" s="199" t="s">
        <v>64</v>
      </c>
      <c r="M54" s="199"/>
      <c r="N54" s="199"/>
      <c r="O54" s="199" t="s">
        <v>274</v>
      </c>
      <c r="P54" s="199"/>
      <c r="Q54" s="199"/>
      <c r="R54" s="199"/>
      <c r="S54" s="200"/>
      <c r="T54" s="200"/>
      <c r="U54" s="200"/>
      <c r="V54" s="137" t="str">
        <f t="shared" si="2"/>
        <v/>
      </c>
      <c r="W54" s="201">
        <v>0.81</v>
      </c>
      <c r="X54" s="138" t="str">
        <f t="shared" si="3"/>
        <v/>
      </c>
    </row>
    <row r="55" spans="1:31" s="95" customFormat="1">
      <c r="A55" s="197">
        <v>63</v>
      </c>
      <c r="B55" s="202" t="s">
        <v>53</v>
      </c>
      <c r="C55" s="202">
        <v>1989</v>
      </c>
      <c r="D55" s="202" t="s">
        <v>54</v>
      </c>
      <c r="E55" s="193" t="s">
        <v>56</v>
      </c>
      <c r="F55" s="223">
        <v>32022</v>
      </c>
      <c r="G55" s="199" t="s">
        <v>60</v>
      </c>
      <c r="H55" s="199" t="s">
        <v>29</v>
      </c>
      <c r="I55" s="199" t="s">
        <v>590</v>
      </c>
      <c r="J55" s="194" t="s">
        <v>706</v>
      </c>
      <c r="K55" s="199" t="s">
        <v>659</v>
      </c>
      <c r="L55" s="199" t="s">
        <v>61</v>
      </c>
      <c r="M55" s="199"/>
      <c r="N55" s="199"/>
      <c r="O55" s="199" t="s">
        <v>272</v>
      </c>
      <c r="P55" s="199"/>
      <c r="Q55" s="199"/>
      <c r="R55" s="199"/>
      <c r="S55" s="200"/>
      <c r="T55" s="200"/>
      <c r="U55" s="200"/>
      <c r="V55" s="137" t="str">
        <f t="shared" si="2"/>
        <v/>
      </c>
      <c r="W55" s="201">
        <v>2.54</v>
      </c>
      <c r="X55" s="138" t="str">
        <f t="shared" si="3"/>
        <v/>
      </c>
    </row>
    <row r="56" spans="1:31" s="95" customFormat="1">
      <c r="A56" s="197">
        <v>203</v>
      </c>
      <c r="B56" s="198" t="s">
        <v>527</v>
      </c>
      <c r="C56" s="199">
        <v>2011</v>
      </c>
      <c r="D56" s="198" t="s">
        <v>528</v>
      </c>
      <c r="E56" s="193" t="s">
        <v>16</v>
      </c>
      <c r="F56" s="199">
        <v>2009</v>
      </c>
      <c r="G56" s="199" t="s">
        <v>125</v>
      </c>
      <c r="H56" s="199"/>
      <c r="I56" s="199"/>
      <c r="J56" s="194" t="s">
        <v>706</v>
      </c>
      <c r="K56" s="199" t="s">
        <v>660</v>
      </c>
      <c r="L56" s="199" t="s">
        <v>424</v>
      </c>
      <c r="M56" s="199"/>
      <c r="N56" s="199"/>
      <c r="O56" s="199">
        <v>57</v>
      </c>
      <c r="P56" s="199"/>
      <c r="Q56" s="199"/>
      <c r="R56" s="199"/>
      <c r="S56" s="200"/>
      <c r="T56" s="200"/>
      <c r="U56" s="200">
        <v>0.91</v>
      </c>
      <c r="V56" s="137">
        <f t="shared" si="2"/>
        <v>0.91</v>
      </c>
      <c r="W56" s="201">
        <v>1.8</v>
      </c>
      <c r="X56" s="138" t="str">
        <f t="shared" si="3"/>
        <v>F</v>
      </c>
    </row>
    <row r="57" spans="1:31" s="95" customFormat="1">
      <c r="A57" s="197">
        <v>172</v>
      </c>
      <c r="B57" s="199" t="s">
        <v>302</v>
      </c>
      <c r="C57" s="199">
        <v>2010</v>
      </c>
      <c r="D57" s="199" t="s">
        <v>303</v>
      </c>
      <c r="E57" s="193" t="s">
        <v>305</v>
      </c>
      <c r="F57" s="213">
        <v>40235</v>
      </c>
      <c r="G57" s="199" t="s">
        <v>347</v>
      </c>
      <c r="H57" s="199" t="s">
        <v>49</v>
      </c>
      <c r="I57" s="199"/>
      <c r="J57" s="194" t="s">
        <v>706</v>
      </c>
      <c r="K57" s="199" t="s">
        <v>654</v>
      </c>
      <c r="L57" s="199" t="s">
        <v>350</v>
      </c>
      <c r="M57" s="217" t="s">
        <v>351</v>
      </c>
      <c r="N57" s="217"/>
      <c r="O57" s="199"/>
      <c r="P57" s="202"/>
      <c r="Q57" s="202"/>
      <c r="R57" s="199"/>
      <c r="S57" s="200"/>
      <c r="T57" s="200"/>
      <c r="U57" s="218">
        <v>0.95899999999999996</v>
      </c>
      <c r="V57" s="137">
        <f t="shared" si="2"/>
        <v>0.95899999999999996</v>
      </c>
      <c r="W57" s="201">
        <v>2.6139999999999999</v>
      </c>
      <c r="X57" s="138" t="str">
        <f t="shared" si="3"/>
        <v>F</v>
      </c>
    </row>
    <row r="58" spans="1:31" s="95" customFormat="1">
      <c r="A58" s="190"/>
      <c r="B58" s="190" t="s">
        <v>563</v>
      </c>
      <c r="C58" s="191">
        <v>1996</v>
      </c>
      <c r="D58" s="192"/>
      <c r="E58" s="193" t="s">
        <v>56</v>
      </c>
      <c r="F58" s="190"/>
      <c r="G58" s="190"/>
      <c r="H58" s="190" t="s">
        <v>564</v>
      </c>
      <c r="I58" s="190"/>
      <c r="J58" s="194" t="s">
        <v>706</v>
      </c>
      <c r="K58" s="190" t="s">
        <v>662</v>
      </c>
      <c r="L58" s="190" t="s">
        <v>565</v>
      </c>
      <c r="M58" s="190"/>
      <c r="N58" s="190"/>
      <c r="O58" s="190" t="s">
        <v>566</v>
      </c>
      <c r="P58" s="190"/>
      <c r="Q58" s="190"/>
      <c r="R58" s="190"/>
      <c r="S58" s="195"/>
      <c r="T58" s="195"/>
      <c r="U58" s="195"/>
      <c r="V58" s="137" t="str">
        <f t="shared" si="2"/>
        <v/>
      </c>
      <c r="W58" s="221">
        <f>3.8*46/14/2</f>
        <v>6.242857142857142</v>
      </c>
      <c r="X58" s="138" t="str">
        <f t="shared" si="3"/>
        <v/>
      </c>
    </row>
    <row r="59" spans="1:31" s="95" customFormat="1">
      <c r="A59" s="197">
        <v>173</v>
      </c>
      <c r="B59" s="199" t="s">
        <v>302</v>
      </c>
      <c r="C59" s="199">
        <v>2011</v>
      </c>
      <c r="D59" s="206" t="s">
        <v>352</v>
      </c>
      <c r="E59" s="193" t="s">
        <v>354</v>
      </c>
      <c r="F59" s="213" t="s">
        <v>369</v>
      </c>
      <c r="G59" s="199" t="s">
        <v>370</v>
      </c>
      <c r="H59" s="199" t="s">
        <v>39</v>
      </c>
      <c r="I59" s="199"/>
      <c r="J59" s="194" t="s">
        <v>706</v>
      </c>
      <c r="K59" s="199" t="s">
        <v>728</v>
      </c>
      <c r="L59" s="199" t="s">
        <v>768</v>
      </c>
      <c r="M59" s="217"/>
      <c r="N59" s="217"/>
      <c r="O59" s="199" t="s">
        <v>372</v>
      </c>
      <c r="P59" s="202"/>
      <c r="Q59" s="202"/>
      <c r="R59" s="199"/>
      <c r="S59" s="200"/>
      <c r="T59" s="200"/>
      <c r="U59" s="218">
        <v>0.91300000000000003</v>
      </c>
      <c r="V59" s="137">
        <f t="shared" si="2"/>
        <v>0.91300000000000003</v>
      </c>
      <c r="W59" s="201">
        <v>2.0299999999999998</v>
      </c>
      <c r="X59" s="138" t="str">
        <f t="shared" si="3"/>
        <v>F</v>
      </c>
    </row>
    <row r="60" spans="1:31" s="95" customFormat="1">
      <c r="A60" s="197">
        <v>173</v>
      </c>
      <c r="B60" s="199" t="s">
        <v>302</v>
      </c>
      <c r="C60" s="199">
        <v>2011</v>
      </c>
      <c r="D60" s="206" t="s">
        <v>352</v>
      </c>
      <c r="E60" s="193" t="s">
        <v>354</v>
      </c>
      <c r="F60" s="213" t="s">
        <v>369</v>
      </c>
      <c r="G60" s="199" t="s">
        <v>370</v>
      </c>
      <c r="H60" s="199" t="s">
        <v>39</v>
      </c>
      <c r="I60" s="199"/>
      <c r="J60" s="194" t="s">
        <v>706</v>
      </c>
      <c r="K60" s="199" t="s">
        <v>728</v>
      </c>
      <c r="L60" s="199" t="s">
        <v>373</v>
      </c>
      <c r="M60" s="217"/>
      <c r="N60" s="217"/>
      <c r="O60" s="199" t="s">
        <v>374</v>
      </c>
      <c r="P60" s="202"/>
      <c r="Q60" s="202"/>
      <c r="R60" s="199"/>
      <c r="S60" s="200"/>
      <c r="T60" s="200"/>
      <c r="U60" s="218">
        <v>0.88500000000000001</v>
      </c>
      <c r="V60" s="137">
        <f t="shared" si="2"/>
        <v>0.88500000000000001</v>
      </c>
      <c r="W60" s="201">
        <v>2.09</v>
      </c>
      <c r="X60" s="138" t="str">
        <f t="shared" si="3"/>
        <v>S</v>
      </c>
    </row>
    <row r="61" spans="1:31" s="95" customFormat="1">
      <c r="A61" s="197">
        <v>37</v>
      </c>
      <c r="B61" s="202" t="s">
        <v>23</v>
      </c>
      <c r="C61" s="202">
        <v>1982</v>
      </c>
      <c r="D61" s="202" t="s">
        <v>27</v>
      </c>
      <c r="E61" s="193" t="s">
        <v>24</v>
      </c>
      <c r="F61" s="223">
        <v>29781</v>
      </c>
      <c r="G61" s="199" t="s">
        <v>28</v>
      </c>
      <c r="H61" s="199" t="s">
        <v>29</v>
      </c>
      <c r="I61" s="199"/>
      <c r="J61" s="194" t="s">
        <v>706</v>
      </c>
      <c r="K61" s="199" t="s">
        <v>666</v>
      </c>
      <c r="L61" s="199" t="s">
        <v>649</v>
      </c>
      <c r="M61" s="199"/>
      <c r="N61" s="199"/>
      <c r="O61" s="199" t="s">
        <v>32</v>
      </c>
      <c r="P61" s="199"/>
      <c r="Q61" s="199"/>
      <c r="R61" s="199"/>
      <c r="S61" s="200"/>
      <c r="T61" s="200"/>
      <c r="U61" s="200"/>
      <c r="V61" s="137" t="str">
        <f t="shared" si="2"/>
        <v/>
      </c>
      <c r="W61" s="201">
        <v>1.2</v>
      </c>
      <c r="X61" s="138" t="str">
        <f t="shared" si="3"/>
        <v/>
      </c>
    </row>
    <row r="62" spans="1:31" s="95" customFormat="1">
      <c r="A62" s="197">
        <v>37</v>
      </c>
      <c r="B62" s="202" t="s">
        <v>23</v>
      </c>
      <c r="C62" s="202">
        <v>1982</v>
      </c>
      <c r="D62" s="202" t="s">
        <v>27</v>
      </c>
      <c r="E62" s="193" t="s">
        <v>24</v>
      </c>
      <c r="F62" s="223">
        <v>29780</v>
      </c>
      <c r="G62" s="199" t="s">
        <v>28</v>
      </c>
      <c r="H62" s="199" t="s">
        <v>29</v>
      </c>
      <c r="I62" s="199"/>
      <c r="J62" s="194" t="s">
        <v>706</v>
      </c>
      <c r="K62" s="199" t="s">
        <v>666</v>
      </c>
      <c r="L62" s="199" t="s">
        <v>649</v>
      </c>
      <c r="M62" s="199"/>
      <c r="N62" s="199"/>
      <c r="O62" s="199" t="s">
        <v>30</v>
      </c>
      <c r="P62" s="199"/>
      <c r="Q62" s="199"/>
      <c r="R62" s="199"/>
      <c r="S62" s="200"/>
      <c r="T62" s="200"/>
      <c r="U62" s="200"/>
      <c r="V62" s="137" t="str">
        <f t="shared" si="2"/>
        <v/>
      </c>
      <c r="W62" s="201">
        <v>1.6</v>
      </c>
      <c r="X62" s="138" t="str">
        <f t="shared" si="3"/>
        <v/>
      </c>
    </row>
    <row r="63" spans="1:31" s="95" customFormat="1">
      <c r="A63" s="197">
        <v>37</v>
      </c>
      <c r="B63" s="202" t="s">
        <v>23</v>
      </c>
      <c r="C63" s="202">
        <v>1982</v>
      </c>
      <c r="D63" s="202" t="s">
        <v>27</v>
      </c>
      <c r="E63" s="193" t="s">
        <v>24</v>
      </c>
      <c r="F63" s="199">
        <v>1989</v>
      </c>
      <c r="G63" s="199" t="s">
        <v>28</v>
      </c>
      <c r="H63" s="199" t="s">
        <v>29</v>
      </c>
      <c r="I63" s="199"/>
      <c r="J63" s="194" t="s">
        <v>706</v>
      </c>
      <c r="K63" s="199" t="s">
        <v>666</v>
      </c>
      <c r="L63" s="199" t="s">
        <v>649</v>
      </c>
      <c r="M63" s="199"/>
      <c r="N63" s="199"/>
      <c r="O63" s="199" t="s">
        <v>34</v>
      </c>
      <c r="P63" s="199"/>
      <c r="Q63" s="199"/>
      <c r="R63" s="199"/>
      <c r="S63" s="200"/>
      <c r="T63" s="200"/>
      <c r="U63" s="200"/>
      <c r="V63" s="137" t="str">
        <f t="shared" si="2"/>
        <v/>
      </c>
      <c r="W63" s="201">
        <v>1.8</v>
      </c>
      <c r="X63" s="138" t="str">
        <f t="shared" si="3"/>
        <v/>
      </c>
    </row>
    <row r="64" spans="1:31" s="95" customFormat="1">
      <c r="A64" s="197">
        <v>37</v>
      </c>
      <c r="B64" s="202" t="s">
        <v>23</v>
      </c>
      <c r="C64" s="202">
        <v>1982</v>
      </c>
      <c r="D64" s="202" t="s">
        <v>27</v>
      </c>
      <c r="E64" s="193" t="s">
        <v>24</v>
      </c>
      <c r="F64" s="199">
        <v>1989</v>
      </c>
      <c r="G64" s="199" t="s">
        <v>28</v>
      </c>
      <c r="H64" s="199" t="s">
        <v>29</v>
      </c>
      <c r="I64" s="199"/>
      <c r="J64" s="194" t="s">
        <v>706</v>
      </c>
      <c r="K64" s="199" t="s">
        <v>666</v>
      </c>
      <c r="L64" s="199" t="s">
        <v>649</v>
      </c>
      <c r="M64" s="199"/>
      <c r="N64" s="199"/>
      <c r="O64" s="199" t="s">
        <v>35</v>
      </c>
      <c r="P64" s="199"/>
      <c r="Q64" s="199"/>
      <c r="R64" s="199"/>
      <c r="S64" s="200"/>
      <c r="T64" s="200"/>
      <c r="U64" s="200"/>
      <c r="V64" s="137" t="str">
        <f t="shared" si="2"/>
        <v/>
      </c>
      <c r="W64" s="201">
        <v>1.9</v>
      </c>
      <c r="X64" s="138" t="str">
        <f t="shared" si="3"/>
        <v/>
      </c>
    </row>
    <row r="65" spans="1:31" s="95" customFormat="1">
      <c r="A65" s="197">
        <v>37</v>
      </c>
      <c r="B65" s="202" t="s">
        <v>23</v>
      </c>
      <c r="C65" s="202">
        <v>1982</v>
      </c>
      <c r="D65" s="202" t="s">
        <v>27</v>
      </c>
      <c r="E65" s="193" t="s">
        <v>24</v>
      </c>
      <c r="F65" s="223">
        <v>29781</v>
      </c>
      <c r="G65" s="199" t="s">
        <v>28</v>
      </c>
      <c r="H65" s="199" t="s">
        <v>29</v>
      </c>
      <c r="I65" s="199"/>
      <c r="J65" s="194" t="s">
        <v>706</v>
      </c>
      <c r="K65" s="199" t="s">
        <v>666</v>
      </c>
      <c r="L65" s="199" t="s">
        <v>649</v>
      </c>
      <c r="M65" s="199"/>
      <c r="N65" s="199"/>
      <c r="O65" s="199" t="s">
        <v>33</v>
      </c>
      <c r="P65" s="199"/>
      <c r="Q65" s="199"/>
      <c r="R65" s="199"/>
      <c r="S65" s="200"/>
      <c r="T65" s="200"/>
      <c r="U65" s="200"/>
      <c r="V65" s="137" t="str">
        <f t="shared" si="2"/>
        <v/>
      </c>
      <c r="W65" s="201">
        <v>2</v>
      </c>
      <c r="X65" s="138" t="str">
        <f t="shared" si="3"/>
        <v/>
      </c>
    </row>
    <row r="66" spans="1:31" s="95" customFormat="1">
      <c r="A66" s="197">
        <v>37</v>
      </c>
      <c r="B66" s="202" t="s">
        <v>23</v>
      </c>
      <c r="C66" s="202">
        <v>1982</v>
      </c>
      <c r="D66" s="202" t="s">
        <v>27</v>
      </c>
      <c r="E66" s="193" t="s">
        <v>24</v>
      </c>
      <c r="F66" s="223">
        <v>29781</v>
      </c>
      <c r="G66" s="199" t="s">
        <v>28</v>
      </c>
      <c r="H66" s="199" t="s">
        <v>29</v>
      </c>
      <c r="I66" s="199"/>
      <c r="J66" s="194" t="s">
        <v>706</v>
      </c>
      <c r="K66" s="199" t="s">
        <v>666</v>
      </c>
      <c r="L66" s="199" t="s">
        <v>649</v>
      </c>
      <c r="M66" s="199"/>
      <c r="N66" s="199"/>
      <c r="O66" s="199" t="s">
        <v>31</v>
      </c>
      <c r="P66" s="199"/>
      <c r="Q66" s="199"/>
      <c r="R66" s="199"/>
      <c r="S66" s="200"/>
      <c r="T66" s="200"/>
      <c r="U66" s="200"/>
      <c r="V66" s="137" t="str">
        <f t="shared" ref="V66:V96" si="4">IF(R66&lt;&gt;0,IF(R66&gt;1,R66/100,R66),IF(U66&lt;&gt;0,IF(U66&gt;1,U66/100,U66),""))</f>
        <v/>
      </c>
      <c r="W66" s="201">
        <v>2.6</v>
      </c>
      <c r="X66" s="138" t="str">
        <f t="shared" ref="X66:X96" si="5">IF(V66&lt;&gt;"",IF(V66&lt;0.9,"S","F"),"")</f>
        <v/>
      </c>
    </row>
    <row r="67" spans="1:31" s="95" customFormat="1">
      <c r="A67" s="194"/>
      <c r="B67" s="190" t="s">
        <v>563</v>
      </c>
      <c r="C67" s="191">
        <v>1996</v>
      </c>
      <c r="D67" s="194"/>
      <c r="E67" s="193" t="s">
        <v>56</v>
      </c>
      <c r="F67" s="194"/>
      <c r="G67" s="194"/>
      <c r="H67" s="194" t="s">
        <v>570</v>
      </c>
      <c r="I67" s="194" t="s">
        <v>590</v>
      </c>
      <c r="J67" s="194" t="s">
        <v>706</v>
      </c>
      <c r="K67" s="199"/>
      <c r="L67" s="194"/>
      <c r="M67" s="194"/>
      <c r="N67" s="194"/>
      <c r="O67" s="190" t="s">
        <v>569</v>
      </c>
      <c r="P67" s="194"/>
      <c r="Q67" s="194"/>
      <c r="R67" s="194"/>
      <c r="S67" s="219"/>
      <c r="T67" s="219"/>
      <c r="U67" s="219">
        <v>0.81</v>
      </c>
      <c r="V67" s="137">
        <f t="shared" si="4"/>
        <v>0.81</v>
      </c>
      <c r="W67" s="221">
        <f>1.29*46/14/2</f>
        <v>2.1192857142857142</v>
      </c>
      <c r="X67" s="138" t="str">
        <f t="shared" si="5"/>
        <v>S</v>
      </c>
    </row>
    <row r="68" spans="1:31">
      <c r="A68" s="47">
        <v>182</v>
      </c>
      <c r="B68" s="49" t="s">
        <v>466</v>
      </c>
      <c r="C68" s="48">
        <v>2010</v>
      </c>
      <c r="D68" s="105" t="s">
        <v>467</v>
      </c>
      <c r="E68" s="46" t="s">
        <v>16</v>
      </c>
      <c r="F68" s="48">
        <v>2008</v>
      </c>
      <c r="G68" s="48" t="s">
        <v>469</v>
      </c>
      <c r="H68" s="48" t="s">
        <v>470</v>
      </c>
      <c r="I68" s="48"/>
      <c r="J68" s="87" t="s">
        <v>709</v>
      </c>
      <c r="K68" s="48" t="s">
        <v>686</v>
      </c>
      <c r="L68" s="48" t="s">
        <v>581</v>
      </c>
      <c r="M68" s="48"/>
      <c r="N68" s="48"/>
      <c r="O68" s="48" t="s">
        <v>473</v>
      </c>
      <c r="P68" s="48"/>
      <c r="Q68" s="48"/>
      <c r="R68" s="48">
        <v>0.92</v>
      </c>
      <c r="S68" s="53"/>
      <c r="T68" s="53"/>
      <c r="U68" s="53"/>
      <c r="V68" s="134">
        <f t="shared" si="4"/>
        <v>0.92</v>
      </c>
      <c r="W68" s="182">
        <f>0.49*0.32</f>
        <v>0.15679999999999999</v>
      </c>
      <c r="X68" s="135" t="str">
        <f t="shared" si="5"/>
        <v>F</v>
      </c>
    </row>
    <row r="69" spans="1:31" s="95" customFormat="1">
      <c r="A69" s="197">
        <v>173</v>
      </c>
      <c r="B69" s="199" t="s">
        <v>302</v>
      </c>
      <c r="C69" s="199">
        <v>2011</v>
      </c>
      <c r="D69" s="206" t="s">
        <v>352</v>
      </c>
      <c r="E69" s="193" t="s">
        <v>354</v>
      </c>
      <c r="F69" s="213" t="s">
        <v>390</v>
      </c>
      <c r="G69" s="199" t="s">
        <v>391</v>
      </c>
      <c r="H69" s="199" t="s">
        <v>301</v>
      </c>
      <c r="I69" s="199"/>
      <c r="J69" s="194" t="s">
        <v>705</v>
      </c>
      <c r="K69" s="199" t="s">
        <v>652</v>
      </c>
      <c r="L69" s="199" t="s">
        <v>392</v>
      </c>
      <c r="M69" s="217"/>
      <c r="N69" s="217"/>
      <c r="O69" s="199" t="s">
        <v>393</v>
      </c>
      <c r="P69" s="202"/>
      <c r="Q69" s="202"/>
      <c r="R69" s="199"/>
      <c r="S69" s="200"/>
      <c r="T69" s="200"/>
      <c r="U69" s="218">
        <v>0.94</v>
      </c>
      <c r="V69" s="137">
        <f t="shared" si="4"/>
        <v>0.94</v>
      </c>
      <c r="W69" s="201">
        <v>3.42</v>
      </c>
      <c r="X69" s="138" t="str">
        <f t="shared" si="5"/>
        <v>F</v>
      </c>
      <c r="Y69" s="232" t="str">
        <f>+J69</f>
        <v>W hardwood</v>
      </c>
      <c r="Z69" s="157" t="s">
        <v>814</v>
      </c>
      <c r="AA69" s="157" t="s">
        <v>815</v>
      </c>
      <c r="AB69" s="157" t="s">
        <v>816</v>
      </c>
      <c r="AC69" s="157" t="s">
        <v>817</v>
      </c>
      <c r="AD69" s="157" t="s">
        <v>818</v>
      </c>
      <c r="AE69" s="157" t="s">
        <v>819</v>
      </c>
    </row>
    <row r="70" spans="1:31" s="95" customFormat="1">
      <c r="A70" s="197">
        <v>172</v>
      </c>
      <c r="B70" s="199" t="s">
        <v>302</v>
      </c>
      <c r="C70" s="199">
        <v>2010</v>
      </c>
      <c r="D70" s="199" t="s">
        <v>303</v>
      </c>
      <c r="E70" s="193" t="s">
        <v>305</v>
      </c>
      <c r="F70" s="213">
        <v>40225</v>
      </c>
      <c r="G70" s="199" t="s">
        <v>324</v>
      </c>
      <c r="H70" s="199" t="s">
        <v>301</v>
      </c>
      <c r="I70" s="199"/>
      <c r="J70" s="194" t="s">
        <v>705</v>
      </c>
      <c r="K70" s="199" t="s">
        <v>650</v>
      </c>
      <c r="L70" s="199" t="s">
        <v>327</v>
      </c>
      <c r="M70" s="214" t="s">
        <v>328</v>
      </c>
      <c r="N70" s="214" t="s">
        <v>329</v>
      </c>
      <c r="O70" s="199"/>
      <c r="P70" s="202"/>
      <c r="Q70" s="202"/>
      <c r="R70" s="199"/>
      <c r="S70" s="200"/>
      <c r="T70" s="200"/>
      <c r="U70" s="215">
        <v>0.97099999999999997</v>
      </c>
      <c r="V70" s="137">
        <f t="shared" si="4"/>
        <v>0.97099999999999997</v>
      </c>
      <c r="W70" s="216">
        <v>3.1760000000000002</v>
      </c>
      <c r="X70" s="138" t="str">
        <f t="shared" si="5"/>
        <v>F</v>
      </c>
      <c r="Y70" s="228" t="s">
        <v>813</v>
      </c>
      <c r="Z70" s="229">
        <f>AVERAGE($W$69:$W$71)</f>
        <v>3.250666666666667</v>
      </c>
      <c r="AA70" s="229">
        <f>MEDIAN($W$69:$W$71)</f>
        <v>3.1760000000000002</v>
      </c>
      <c r="AB70" s="229">
        <f>MAX($W$69:$W$71)</f>
        <v>3.42</v>
      </c>
      <c r="AC70" s="229">
        <f>MIN($W$69:$W$71)</f>
        <v>3.1560000000000001</v>
      </c>
      <c r="AD70" s="229">
        <f>STDEV($W$69:$W$71)</f>
        <v>0.14698752781557112</v>
      </c>
      <c r="AE70" s="230">
        <f>COUNT($W$69:$W$71)</f>
        <v>3</v>
      </c>
    </row>
    <row r="71" spans="1:31" s="95" customFormat="1">
      <c r="A71" s="197">
        <v>172</v>
      </c>
      <c r="B71" s="199" t="s">
        <v>302</v>
      </c>
      <c r="C71" s="199">
        <v>2010</v>
      </c>
      <c r="D71" s="199" t="s">
        <v>303</v>
      </c>
      <c r="E71" s="193" t="s">
        <v>305</v>
      </c>
      <c r="F71" s="213">
        <v>40226</v>
      </c>
      <c r="G71" s="199" t="s">
        <v>324</v>
      </c>
      <c r="H71" s="199" t="s">
        <v>301</v>
      </c>
      <c r="I71" s="199"/>
      <c r="J71" s="194" t="s">
        <v>705</v>
      </c>
      <c r="K71" s="199" t="s">
        <v>651</v>
      </c>
      <c r="L71" s="199" t="s">
        <v>330</v>
      </c>
      <c r="M71" s="214" t="s">
        <v>328</v>
      </c>
      <c r="N71" s="214" t="s">
        <v>331</v>
      </c>
      <c r="O71" s="199"/>
      <c r="P71" s="202"/>
      <c r="Q71" s="202"/>
      <c r="R71" s="199"/>
      <c r="S71" s="200"/>
      <c r="T71" s="200"/>
      <c r="U71" s="215">
        <v>0.96499999999999997</v>
      </c>
      <c r="V71" s="137">
        <f t="shared" si="4"/>
        <v>0.96499999999999997</v>
      </c>
      <c r="W71" s="216">
        <v>3.1560000000000001</v>
      </c>
      <c r="X71" s="138" t="str">
        <f t="shared" si="5"/>
        <v>F</v>
      </c>
    </row>
    <row r="72" spans="1:31">
      <c r="A72" s="47">
        <v>172</v>
      </c>
      <c r="B72" s="48" t="s">
        <v>302</v>
      </c>
      <c r="C72" s="48">
        <v>2010</v>
      </c>
      <c r="D72" s="48" t="s">
        <v>303</v>
      </c>
      <c r="E72" s="46" t="s">
        <v>305</v>
      </c>
      <c r="F72" s="50">
        <v>40218</v>
      </c>
      <c r="G72" s="48" t="s">
        <v>306</v>
      </c>
      <c r="H72" s="48" t="s">
        <v>39</v>
      </c>
      <c r="I72" s="48"/>
      <c r="J72" s="87" t="s">
        <v>704</v>
      </c>
      <c r="K72" s="48" t="s">
        <v>613</v>
      </c>
      <c r="L72" s="48" t="s">
        <v>307</v>
      </c>
      <c r="M72" s="56" t="s">
        <v>308</v>
      </c>
      <c r="N72" s="56"/>
      <c r="O72" s="48"/>
      <c r="P72" s="48"/>
      <c r="Q72" s="48"/>
      <c r="R72" s="48"/>
      <c r="S72" s="53"/>
      <c r="T72" s="53"/>
      <c r="U72" s="55">
        <v>0.94599999999999995</v>
      </c>
      <c r="V72" s="134">
        <f t="shared" si="4"/>
        <v>0.94599999999999995</v>
      </c>
      <c r="W72" s="183">
        <v>3.1579999999999999</v>
      </c>
      <c r="X72" s="135" t="str">
        <f t="shared" si="5"/>
        <v>F</v>
      </c>
      <c r="Y72" s="179" t="str">
        <f>+J72</f>
        <v>W shrub</v>
      </c>
      <c r="Z72" s="175" t="s">
        <v>814</v>
      </c>
      <c r="AA72" s="175" t="s">
        <v>815</v>
      </c>
      <c r="AB72" s="175" t="s">
        <v>816</v>
      </c>
      <c r="AC72" s="175" t="s">
        <v>817</v>
      </c>
      <c r="AD72" s="175" t="s">
        <v>818</v>
      </c>
      <c r="AE72" s="175" t="s">
        <v>819</v>
      </c>
    </row>
    <row r="73" spans="1:31">
      <c r="A73" s="47">
        <v>63</v>
      </c>
      <c r="B73" s="52" t="s">
        <v>53</v>
      </c>
      <c r="C73" s="52">
        <v>1989</v>
      </c>
      <c r="D73" s="52" t="s">
        <v>54</v>
      </c>
      <c r="E73" s="46" t="s">
        <v>56</v>
      </c>
      <c r="F73" s="71">
        <v>31950</v>
      </c>
      <c r="G73" s="48" t="s">
        <v>57</v>
      </c>
      <c r="H73" s="48" t="s">
        <v>39</v>
      </c>
      <c r="I73" s="48"/>
      <c r="J73" s="87" t="s">
        <v>704</v>
      </c>
      <c r="K73" s="48" t="s">
        <v>614</v>
      </c>
      <c r="L73" s="48" t="s">
        <v>58</v>
      </c>
      <c r="M73" s="48"/>
      <c r="N73" s="48"/>
      <c r="O73" s="48" t="s">
        <v>43</v>
      </c>
      <c r="P73" s="48"/>
      <c r="Q73" s="48"/>
      <c r="R73" s="48"/>
      <c r="S73" s="53"/>
      <c r="T73" s="53"/>
      <c r="U73" s="53"/>
      <c r="V73" s="134" t="str">
        <f t="shared" si="4"/>
        <v/>
      </c>
      <c r="W73" s="180">
        <v>3.3</v>
      </c>
      <c r="X73" s="135" t="str">
        <f t="shared" si="5"/>
        <v/>
      </c>
      <c r="Y73" s="175" t="s">
        <v>813</v>
      </c>
      <c r="Z73" s="176">
        <f>AVERAGE($W$72:$W$96)</f>
        <v>3.5688800000000005</v>
      </c>
      <c r="AA73" s="176">
        <f>MEDIAN($W$72:$W$96)</f>
        <v>3.1259999999999999</v>
      </c>
      <c r="AB73" s="176">
        <f>MAX($W$72:$W$96)</f>
        <v>8.9</v>
      </c>
      <c r="AC73" s="176">
        <f>MIN($W$72:$W$96)</f>
        <v>1.29</v>
      </c>
      <c r="AD73" s="176">
        <f>STDEV($W$72:$W$96)</f>
        <v>1.7494554467033439</v>
      </c>
      <c r="AE73" s="231">
        <f>COUNT($W$72:$W$96)</f>
        <v>25</v>
      </c>
    </row>
    <row r="74" spans="1:31">
      <c r="A74" s="47">
        <v>172</v>
      </c>
      <c r="B74" s="48" t="s">
        <v>302</v>
      </c>
      <c r="C74" s="48">
        <v>2010</v>
      </c>
      <c r="D74" s="48" t="s">
        <v>303</v>
      </c>
      <c r="E74" s="46" t="s">
        <v>305</v>
      </c>
      <c r="F74" s="50">
        <v>40219</v>
      </c>
      <c r="G74" s="48" t="s">
        <v>306</v>
      </c>
      <c r="H74" s="48" t="s">
        <v>39</v>
      </c>
      <c r="I74" s="48"/>
      <c r="J74" s="87" t="s">
        <v>704</v>
      </c>
      <c r="K74" s="48" t="s">
        <v>614</v>
      </c>
      <c r="L74" s="48" t="s">
        <v>309</v>
      </c>
      <c r="M74" s="51" t="s">
        <v>93</v>
      </c>
      <c r="N74" s="51" t="s">
        <v>310</v>
      </c>
      <c r="O74" s="48"/>
      <c r="P74" s="52"/>
      <c r="Q74" s="52"/>
      <c r="R74" s="48"/>
      <c r="S74" s="53"/>
      <c r="T74" s="53"/>
      <c r="U74" s="55">
        <v>0.93899999999999995</v>
      </c>
      <c r="V74" s="134">
        <f t="shared" si="4"/>
        <v>0.93899999999999995</v>
      </c>
      <c r="W74" s="183">
        <v>2.93</v>
      </c>
      <c r="X74" s="135" t="str">
        <f t="shared" si="5"/>
        <v>F</v>
      </c>
    </row>
    <row r="75" spans="1:31">
      <c r="A75" s="47">
        <v>203</v>
      </c>
      <c r="B75" s="105" t="s">
        <v>527</v>
      </c>
      <c r="C75" s="48">
        <v>2011</v>
      </c>
      <c r="D75" s="105" t="s">
        <v>528</v>
      </c>
      <c r="E75" s="46" t="s">
        <v>16</v>
      </c>
      <c r="F75" s="48">
        <v>2009</v>
      </c>
      <c r="G75" s="48" t="s">
        <v>125</v>
      </c>
      <c r="H75" s="48"/>
      <c r="I75" s="48"/>
      <c r="J75" s="87" t="s">
        <v>704</v>
      </c>
      <c r="K75" s="48" t="s">
        <v>614</v>
      </c>
      <c r="L75" s="48" t="s">
        <v>92</v>
      </c>
      <c r="M75" s="48"/>
      <c r="N75" s="48"/>
      <c r="O75" s="48">
        <v>59</v>
      </c>
      <c r="P75" s="48"/>
      <c r="Q75" s="48"/>
      <c r="R75" s="48"/>
      <c r="S75" s="53"/>
      <c r="T75" s="53"/>
      <c r="U75" s="53">
        <v>0.94</v>
      </c>
      <c r="V75" s="134">
        <f t="shared" si="4"/>
        <v>0.94</v>
      </c>
      <c r="W75" s="180">
        <v>3.3</v>
      </c>
      <c r="X75" s="135" t="str">
        <f t="shared" si="5"/>
        <v>F</v>
      </c>
    </row>
    <row r="76" spans="1:31">
      <c r="A76" s="47">
        <v>172</v>
      </c>
      <c r="B76" s="48" t="s">
        <v>302</v>
      </c>
      <c r="C76" s="48">
        <v>2010</v>
      </c>
      <c r="D76" s="48" t="s">
        <v>303</v>
      </c>
      <c r="E76" s="46" t="s">
        <v>305</v>
      </c>
      <c r="F76" s="50">
        <v>40222</v>
      </c>
      <c r="G76" s="48" t="s">
        <v>311</v>
      </c>
      <c r="H76" s="48" t="s">
        <v>39</v>
      </c>
      <c r="I76" s="48"/>
      <c r="J76" s="87" t="s">
        <v>704</v>
      </c>
      <c r="K76" s="48" t="s">
        <v>611</v>
      </c>
      <c r="L76" s="48" t="s">
        <v>318</v>
      </c>
      <c r="M76" s="51" t="s">
        <v>319</v>
      </c>
      <c r="N76" s="51" t="s">
        <v>320</v>
      </c>
      <c r="O76" s="48"/>
      <c r="P76" s="52"/>
      <c r="Q76" s="52"/>
      <c r="R76" s="48"/>
      <c r="S76" s="53"/>
      <c r="T76" s="53"/>
      <c r="U76" s="55">
        <v>0.94799999999999995</v>
      </c>
      <c r="V76" s="134">
        <f t="shared" si="4"/>
        <v>0.94799999999999995</v>
      </c>
      <c r="W76" s="183">
        <v>2.6720000000000002</v>
      </c>
      <c r="X76" s="135" t="str">
        <f t="shared" si="5"/>
        <v>F</v>
      </c>
    </row>
    <row r="77" spans="1:31">
      <c r="A77" s="47">
        <v>173</v>
      </c>
      <c r="B77" s="48" t="s">
        <v>302</v>
      </c>
      <c r="C77" s="48">
        <v>2011</v>
      </c>
      <c r="D77" s="74" t="s">
        <v>352</v>
      </c>
      <c r="E77" s="46" t="s">
        <v>354</v>
      </c>
      <c r="F77" s="50" t="s">
        <v>382</v>
      </c>
      <c r="G77" s="48" t="s">
        <v>383</v>
      </c>
      <c r="H77" s="48" t="s">
        <v>39</v>
      </c>
      <c r="I77" s="48"/>
      <c r="J77" s="87" t="s">
        <v>704</v>
      </c>
      <c r="K77" s="48" t="s">
        <v>612</v>
      </c>
      <c r="L77" s="48" t="s">
        <v>384</v>
      </c>
      <c r="M77" s="56"/>
      <c r="N77" s="56"/>
      <c r="O77" s="48" t="s">
        <v>385</v>
      </c>
      <c r="P77" s="52"/>
      <c r="Q77" s="52"/>
      <c r="R77" s="48"/>
      <c r="S77" s="53"/>
      <c r="T77" s="53"/>
      <c r="U77" s="54">
        <v>0.93300000000000005</v>
      </c>
      <c r="V77" s="134">
        <f t="shared" si="4"/>
        <v>0.93300000000000005</v>
      </c>
      <c r="W77" s="180">
        <v>2.62</v>
      </c>
      <c r="X77" s="135" t="str">
        <f t="shared" si="5"/>
        <v>F</v>
      </c>
    </row>
    <row r="78" spans="1:31">
      <c r="A78" s="47">
        <v>172</v>
      </c>
      <c r="B78" s="48" t="s">
        <v>302</v>
      </c>
      <c r="C78" s="48">
        <v>2010</v>
      </c>
      <c r="D78" s="48" t="s">
        <v>303</v>
      </c>
      <c r="E78" s="46" t="s">
        <v>305</v>
      </c>
      <c r="F78" s="50">
        <v>40223</v>
      </c>
      <c r="G78" s="48" t="s">
        <v>311</v>
      </c>
      <c r="H78" s="48" t="s">
        <v>39</v>
      </c>
      <c r="I78" s="48"/>
      <c r="J78" s="87" t="s">
        <v>704</v>
      </c>
      <c r="K78" s="48" t="s">
        <v>612</v>
      </c>
      <c r="L78" s="48" t="s">
        <v>321</v>
      </c>
      <c r="M78" s="51" t="s">
        <v>322</v>
      </c>
      <c r="N78" s="51" t="s">
        <v>323</v>
      </c>
      <c r="O78" s="48"/>
      <c r="P78" s="52"/>
      <c r="Q78" s="52"/>
      <c r="R78" s="48"/>
      <c r="S78" s="53"/>
      <c r="T78" s="53"/>
      <c r="U78" s="55">
        <v>0.95199999999999996</v>
      </c>
      <c r="V78" s="134">
        <f t="shared" si="4"/>
        <v>0.95199999999999996</v>
      </c>
      <c r="W78" s="183">
        <v>2.7189999999999999</v>
      </c>
      <c r="X78" s="135" t="str">
        <f t="shared" si="5"/>
        <v>F</v>
      </c>
    </row>
    <row r="79" spans="1:31">
      <c r="A79" s="47">
        <v>63</v>
      </c>
      <c r="B79" s="52" t="s">
        <v>53</v>
      </c>
      <c r="C79" s="52">
        <v>1989</v>
      </c>
      <c r="D79" s="52" t="s">
        <v>54</v>
      </c>
      <c r="E79" s="46" t="s">
        <v>56</v>
      </c>
      <c r="F79" s="71">
        <v>31758</v>
      </c>
      <c r="G79" s="48" t="s">
        <v>57</v>
      </c>
      <c r="H79" s="48" t="s">
        <v>39</v>
      </c>
      <c r="I79" s="48"/>
      <c r="J79" s="87" t="s">
        <v>704</v>
      </c>
      <c r="K79" s="74" t="s">
        <v>629</v>
      </c>
      <c r="L79" s="48" t="s">
        <v>58</v>
      </c>
      <c r="M79" s="48"/>
      <c r="N79" s="48"/>
      <c r="O79" s="48" t="s">
        <v>59</v>
      </c>
      <c r="P79" s="48"/>
      <c r="Q79" s="48"/>
      <c r="R79" s="48"/>
      <c r="S79" s="53"/>
      <c r="T79" s="53"/>
      <c r="U79" s="53"/>
      <c r="V79" s="134" t="str">
        <f t="shared" si="4"/>
        <v/>
      </c>
      <c r="W79" s="180">
        <v>8.9</v>
      </c>
      <c r="X79" s="135" t="str">
        <f t="shared" si="5"/>
        <v/>
      </c>
    </row>
    <row r="80" spans="1:31">
      <c r="A80" s="47">
        <v>173</v>
      </c>
      <c r="B80" s="48" t="s">
        <v>302</v>
      </c>
      <c r="C80" s="48">
        <v>2011</v>
      </c>
      <c r="D80" s="74" t="s">
        <v>352</v>
      </c>
      <c r="E80" s="46" t="s">
        <v>354</v>
      </c>
      <c r="F80" s="50" t="s">
        <v>378</v>
      </c>
      <c r="G80" s="48" t="s">
        <v>311</v>
      </c>
      <c r="H80" s="48" t="s">
        <v>39</v>
      </c>
      <c r="I80" s="48"/>
      <c r="J80" s="87" t="s">
        <v>704</v>
      </c>
      <c r="K80" s="48" t="s">
        <v>623</v>
      </c>
      <c r="L80" s="48" t="s">
        <v>616</v>
      </c>
      <c r="M80" s="56"/>
      <c r="N80" s="56"/>
      <c r="O80" s="48" t="s">
        <v>381</v>
      </c>
      <c r="P80" s="52"/>
      <c r="Q80" s="52"/>
      <c r="R80" s="48"/>
      <c r="S80" s="53"/>
      <c r="T80" s="53"/>
      <c r="U80" s="54">
        <v>0.90300000000000002</v>
      </c>
      <c r="V80" s="134">
        <f t="shared" si="4"/>
        <v>0.90300000000000002</v>
      </c>
      <c r="W80" s="180">
        <v>1.29</v>
      </c>
      <c r="X80" s="135" t="str">
        <f t="shared" si="5"/>
        <v>F</v>
      </c>
    </row>
    <row r="81" spans="1:24">
      <c r="A81" s="47">
        <v>63</v>
      </c>
      <c r="B81" s="52" t="s">
        <v>53</v>
      </c>
      <c r="C81" s="52">
        <v>1989</v>
      </c>
      <c r="D81" s="52" t="s">
        <v>54</v>
      </c>
      <c r="E81" s="72" t="s">
        <v>56</v>
      </c>
      <c r="F81" s="73">
        <v>31749</v>
      </c>
      <c r="G81" s="48" t="s">
        <v>595</v>
      </c>
      <c r="H81" s="74" t="s">
        <v>39</v>
      </c>
      <c r="I81" s="74"/>
      <c r="J81" s="87" t="s">
        <v>704</v>
      </c>
      <c r="K81" s="74" t="s">
        <v>624</v>
      </c>
      <c r="L81" s="75" t="s">
        <v>66</v>
      </c>
      <c r="M81" s="75"/>
      <c r="N81" s="75"/>
      <c r="O81" s="75" t="s">
        <v>41</v>
      </c>
      <c r="P81" s="75"/>
      <c r="Q81" s="75"/>
      <c r="R81" s="48"/>
      <c r="S81" s="53"/>
      <c r="T81" s="53"/>
      <c r="U81" s="76"/>
      <c r="V81" s="134" t="str">
        <f t="shared" si="4"/>
        <v/>
      </c>
      <c r="W81" s="181">
        <v>7.2</v>
      </c>
      <c r="X81" s="135" t="str">
        <f t="shared" si="5"/>
        <v/>
      </c>
    </row>
    <row r="82" spans="1:24">
      <c r="A82" s="47">
        <v>173</v>
      </c>
      <c r="B82" s="48" t="s">
        <v>302</v>
      </c>
      <c r="C82" s="48">
        <v>2011</v>
      </c>
      <c r="D82" s="74" t="s">
        <v>352</v>
      </c>
      <c r="E82" s="46" t="s">
        <v>354</v>
      </c>
      <c r="F82" s="50" t="s">
        <v>386</v>
      </c>
      <c r="G82" s="48" t="s">
        <v>387</v>
      </c>
      <c r="H82" s="48" t="s">
        <v>39</v>
      </c>
      <c r="I82" s="48"/>
      <c r="J82" s="87" t="s">
        <v>704</v>
      </c>
      <c r="K82" s="48" t="s">
        <v>624</v>
      </c>
      <c r="L82" s="48" t="s">
        <v>388</v>
      </c>
      <c r="M82" s="56"/>
      <c r="N82" s="56"/>
      <c r="O82" s="48" t="s">
        <v>389</v>
      </c>
      <c r="P82" s="52"/>
      <c r="Q82" s="52"/>
      <c r="R82" s="48"/>
      <c r="S82" s="53"/>
      <c r="T82" s="53"/>
      <c r="U82" s="54">
        <v>0.94699999999999995</v>
      </c>
      <c r="V82" s="134">
        <f t="shared" si="4"/>
        <v>0.94699999999999995</v>
      </c>
      <c r="W82" s="180">
        <v>1.49</v>
      </c>
      <c r="X82" s="135" t="str">
        <f t="shared" si="5"/>
        <v>F</v>
      </c>
    </row>
    <row r="83" spans="1:24">
      <c r="A83" s="47">
        <v>173</v>
      </c>
      <c r="B83" s="48" t="s">
        <v>302</v>
      </c>
      <c r="C83" s="48">
        <v>2011</v>
      </c>
      <c r="D83" s="74" t="s">
        <v>352</v>
      </c>
      <c r="E83" s="46" t="s">
        <v>354</v>
      </c>
      <c r="F83" s="50" t="s">
        <v>375</v>
      </c>
      <c r="G83" s="48" t="s">
        <v>311</v>
      </c>
      <c r="H83" s="48" t="s">
        <v>39</v>
      </c>
      <c r="I83" s="48"/>
      <c r="J83" s="87" t="s">
        <v>704</v>
      </c>
      <c r="K83" s="48" t="s">
        <v>624</v>
      </c>
      <c r="L83" s="48" t="s">
        <v>376</v>
      </c>
      <c r="M83" s="56"/>
      <c r="N83" s="56"/>
      <c r="O83" s="48" t="s">
        <v>377</v>
      </c>
      <c r="P83" s="52"/>
      <c r="Q83" s="52"/>
      <c r="R83" s="48"/>
      <c r="S83" s="53"/>
      <c r="T83" s="53"/>
      <c r="U83" s="54">
        <v>0.95</v>
      </c>
      <c r="V83" s="134">
        <f t="shared" si="4"/>
        <v>0.95</v>
      </c>
      <c r="W83" s="180">
        <v>2.08</v>
      </c>
      <c r="X83" s="135" t="str">
        <f t="shared" si="5"/>
        <v>F</v>
      </c>
    </row>
    <row r="84" spans="1:24">
      <c r="A84" s="47">
        <v>173</v>
      </c>
      <c r="B84" s="48" t="s">
        <v>302</v>
      </c>
      <c r="C84" s="48">
        <v>2011</v>
      </c>
      <c r="D84" s="74" t="s">
        <v>352</v>
      </c>
      <c r="E84" s="46" t="s">
        <v>354</v>
      </c>
      <c r="F84" s="50" t="s">
        <v>378</v>
      </c>
      <c r="G84" s="48" t="s">
        <v>311</v>
      </c>
      <c r="H84" s="48" t="s">
        <v>39</v>
      </c>
      <c r="I84" s="48"/>
      <c r="J84" s="87" t="s">
        <v>704</v>
      </c>
      <c r="K84" s="48" t="s">
        <v>624</v>
      </c>
      <c r="L84" s="48" t="s">
        <v>376</v>
      </c>
      <c r="M84" s="56"/>
      <c r="N84" s="56"/>
      <c r="O84" s="48" t="s">
        <v>379</v>
      </c>
      <c r="P84" s="52"/>
      <c r="Q84" s="52"/>
      <c r="R84" s="48"/>
      <c r="S84" s="53"/>
      <c r="T84" s="53"/>
      <c r="U84" s="54">
        <v>0.93799999999999994</v>
      </c>
      <c r="V84" s="134">
        <f t="shared" si="4"/>
        <v>0.93799999999999994</v>
      </c>
      <c r="W84" s="180">
        <v>2.17</v>
      </c>
      <c r="X84" s="135" t="str">
        <f t="shared" si="5"/>
        <v>F</v>
      </c>
    </row>
    <row r="85" spans="1:24">
      <c r="A85" s="47">
        <v>172</v>
      </c>
      <c r="B85" s="48" t="s">
        <v>302</v>
      </c>
      <c r="C85" s="48">
        <v>2010</v>
      </c>
      <c r="D85" s="48" t="s">
        <v>303</v>
      </c>
      <c r="E85" s="46" t="s">
        <v>305</v>
      </c>
      <c r="F85" s="50">
        <v>40221</v>
      </c>
      <c r="G85" s="48" t="s">
        <v>311</v>
      </c>
      <c r="H85" s="48" t="s">
        <v>39</v>
      </c>
      <c r="I85" s="48"/>
      <c r="J85" s="87" t="s">
        <v>704</v>
      </c>
      <c r="K85" s="48" t="s">
        <v>624</v>
      </c>
      <c r="L85" s="48" t="s">
        <v>315</v>
      </c>
      <c r="M85" s="51" t="s">
        <v>316</v>
      </c>
      <c r="N85" s="51" t="s">
        <v>317</v>
      </c>
      <c r="O85" s="48"/>
      <c r="P85" s="52"/>
      <c r="Q85" s="52"/>
      <c r="R85" s="48"/>
      <c r="S85" s="53"/>
      <c r="T85" s="53"/>
      <c r="U85" s="55">
        <v>0.93899999999999995</v>
      </c>
      <c r="V85" s="134">
        <f t="shared" si="4"/>
        <v>0.93899999999999995</v>
      </c>
      <c r="W85" s="183">
        <v>2.2759999999999998</v>
      </c>
      <c r="X85" s="135" t="str">
        <f t="shared" si="5"/>
        <v>F</v>
      </c>
    </row>
    <row r="86" spans="1:24">
      <c r="A86" s="47">
        <v>172</v>
      </c>
      <c r="B86" s="48" t="s">
        <v>302</v>
      </c>
      <c r="C86" s="48">
        <v>2010</v>
      </c>
      <c r="D86" s="48" t="s">
        <v>303</v>
      </c>
      <c r="E86" s="46" t="s">
        <v>305</v>
      </c>
      <c r="F86" s="50">
        <v>40220</v>
      </c>
      <c r="G86" s="48" t="s">
        <v>311</v>
      </c>
      <c r="H86" s="48" t="s">
        <v>39</v>
      </c>
      <c r="I86" s="48"/>
      <c r="J86" s="87" t="s">
        <v>704</v>
      </c>
      <c r="K86" s="48" t="s">
        <v>624</v>
      </c>
      <c r="L86" s="48" t="s">
        <v>312</v>
      </c>
      <c r="M86" s="51" t="s">
        <v>313</v>
      </c>
      <c r="N86" s="51" t="s">
        <v>314</v>
      </c>
      <c r="O86" s="48"/>
      <c r="P86" s="52"/>
      <c r="Q86" s="52"/>
      <c r="R86" s="48"/>
      <c r="S86" s="53"/>
      <c r="T86" s="53"/>
      <c r="U86" s="55">
        <v>0.94399999999999995</v>
      </c>
      <c r="V86" s="134">
        <f t="shared" si="4"/>
        <v>0.94399999999999995</v>
      </c>
      <c r="W86" s="183">
        <v>2.601</v>
      </c>
      <c r="X86" s="135" t="str">
        <f t="shared" si="5"/>
        <v>F</v>
      </c>
    </row>
    <row r="87" spans="1:24">
      <c r="A87" s="47">
        <v>203</v>
      </c>
      <c r="B87" s="105" t="s">
        <v>527</v>
      </c>
      <c r="C87" s="48">
        <v>2011</v>
      </c>
      <c r="D87" s="105" t="s">
        <v>528</v>
      </c>
      <c r="E87" s="46" t="s">
        <v>16</v>
      </c>
      <c r="F87" s="48">
        <v>2009</v>
      </c>
      <c r="G87" s="48" t="s">
        <v>125</v>
      </c>
      <c r="H87" s="48"/>
      <c r="I87" s="48"/>
      <c r="J87" s="87" t="s">
        <v>704</v>
      </c>
      <c r="K87" s="48" t="s">
        <v>655</v>
      </c>
      <c r="L87" s="48" t="s">
        <v>531</v>
      </c>
      <c r="M87" s="48"/>
      <c r="N87" s="48"/>
      <c r="O87" s="48">
        <v>49</v>
      </c>
      <c r="P87" s="48"/>
      <c r="Q87" s="48"/>
      <c r="R87" s="48"/>
      <c r="S87" s="53"/>
      <c r="T87" s="53"/>
      <c r="U87" s="53">
        <v>0.92</v>
      </c>
      <c r="V87" s="134">
        <f t="shared" si="4"/>
        <v>0.92</v>
      </c>
      <c r="W87" s="180">
        <v>4.5999999999999996</v>
      </c>
      <c r="X87" s="135" t="str">
        <f t="shared" si="5"/>
        <v>F</v>
      </c>
    </row>
    <row r="88" spans="1:24">
      <c r="A88" s="47">
        <v>203</v>
      </c>
      <c r="B88" s="105" t="s">
        <v>527</v>
      </c>
      <c r="C88" s="48">
        <v>2011</v>
      </c>
      <c r="D88" s="105" t="s">
        <v>528</v>
      </c>
      <c r="E88" s="46" t="s">
        <v>16</v>
      </c>
      <c r="F88" s="48">
        <v>2009</v>
      </c>
      <c r="G88" s="48" t="s">
        <v>125</v>
      </c>
      <c r="H88" s="48"/>
      <c r="I88" s="48"/>
      <c r="J88" s="87" t="s">
        <v>704</v>
      </c>
      <c r="K88" s="48" t="s">
        <v>655</v>
      </c>
      <c r="L88" s="48" t="s">
        <v>532</v>
      </c>
      <c r="M88" s="48"/>
      <c r="N88" s="48"/>
      <c r="O88" s="48">
        <v>53</v>
      </c>
      <c r="P88" s="48"/>
      <c r="Q88" s="48"/>
      <c r="R88" s="48"/>
      <c r="S88" s="53"/>
      <c r="T88" s="53"/>
      <c r="U88" s="53">
        <v>0.93</v>
      </c>
      <c r="V88" s="134">
        <f t="shared" si="4"/>
        <v>0.93</v>
      </c>
      <c r="W88" s="180">
        <v>5.8</v>
      </c>
      <c r="X88" s="135" t="str">
        <f t="shared" si="5"/>
        <v>F</v>
      </c>
    </row>
    <row r="89" spans="1:24">
      <c r="A89" s="47">
        <v>182</v>
      </c>
      <c r="B89" s="49" t="s">
        <v>466</v>
      </c>
      <c r="C89" s="48">
        <v>2010</v>
      </c>
      <c r="D89" s="105" t="s">
        <v>467</v>
      </c>
      <c r="E89" s="46" t="s">
        <v>16</v>
      </c>
      <c r="F89" s="48">
        <v>2008</v>
      </c>
      <c r="G89" s="48" t="s">
        <v>469</v>
      </c>
      <c r="H89" s="48" t="s">
        <v>470</v>
      </c>
      <c r="I89" s="48"/>
      <c r="J89" s="87" t="s">
        <v>704</v>
      </c>
      <c r="K89" s="48" t="s">
        <v>691</v>
      </c>
      <c r="L89" s="48" t="s">
        <v>586</v>
      </c>
      <c r="M89" s="48"/>
      <c r="N89" s="48"/>
      <c r="O89" s="48" t="s">
        <v>476</v>
      </c>
      <c r="P89" s="48"/>
      <c r="Q89" s="48"/>
      <c r="R89" s="48">
        <v>0.93</v>
      </c>
      <c r="S89" s="53"/>
      <c r="T89" s="53"/>
      <c r="U89" s="53"/>
      <c r="V89" s="134">
        <f t="shared" si="4"/>
        <v>0.93</v>
      </c>
      <c r="W89" s="182">
        <f>9.1*0.52</f>
        <v>4.7320000000000002</v>
      </c>
      <c r="X89" s="135" t="str">
        <f t="shared" si="5"/>
        <v>F</v>
      </c>
    </row>
    <row r="90" spans="1:24">
      <c r="A90" s="47">
        <v>182</v>
      </c>
      <c r="B90" s="49" t="s">
        <v>466</v>
      </c>
      <c r="C90" s="48">
        <v>2010</v>
      </c>
      <c r="D90" s="105" t="s">
        <v>467</v>
      </c>
      <c r="E90" s="46" t="s">
        <v>16</v>
      </c>
      <c r="F90" s="48">
        <v>2008</v>
      </c>
      <c r="G90" s="48" t="s">
        <v>469</v>
      </c>
      <c r="H90" s="48" t="s">
        <v>470</v>
      </c>
      <c r="I90" s="48"/>
      <c r="J90" s="87" t="s">
        <v>704</v>
      </c>
      <c r="K90" s="48" t="s">
        <v>692</v>
      </c>
      <c r="L90" s="48" t="s">
        <v>587</v>
      </c>
      <c r="M90" s="48"/>
      <c r="N90" s="48"/>
      <c r="O90" s="48" t="s">
        <v>477</v>
      </c>
      <c r="P90" s="48"/>
      <c r="Q90" s="48"/>
      <c r="R90" s="48">
        <v>0.94</v>
      </c>
      <c r="S90" s="53"/>
      <c r="T90" s="53"/>
      <c r="U90" s="53"/>
      <c r="V90" s="134">
        <f t="shared" si="4"/>
        <v>0.94</v>
      </c>
      <c r="W90" s="182">
        <f>9.1*0.48</f>
        <v>4.3679999999999994</v>
      </c>
      <c r="X90" s="135" t="str">
        <f t="shared" si="5"/>
        <v>F</v>
      </c>
    </row>
    <row r="91" spans="1:24">
      <c r="A91" s="47">
        <v>182</v>
      </c>
      <c r="B91" s="49" t="s">
        <v>466</v>
      </c>
      <c r="C91" s="48">
        <v>2010</v>
      </c>
      <c r="D91" s="105" t="s">
        <v>467</v>
      </c>
      <c r="E91" s="46" t="s">
        <v>16</v>
      </c>
      <c r="F91" s="48">
        <v>2008</v>
      </c>
      <c r="G91" s="48" t="s">
        <v>469</v>
      </c>
      <c r="H91" s="48" t="s">
        <v>470</v>
      </c>
      <c r="I91" s="48"/>
      <c r="J91" s="87" t="s">
        <v>704</v>
      </c>
      <c r="K91" s="48" t="s">
        <v>689</v>
      </c>
      <c r="L91" s="48" t="s">
        <v>584</v>
      </c>
      <c r="M91" s="48"/>
      <c r="N91" s="48"/>
      <c r="O91" s="48" t="s">
        <v>478</v>
      </c>
      <c r="P91" s="48"/>
      <c r="Q91" s="48"/>
      <c r="R91" s="48">
        <v>0.91</v>
      </c>
      <c r="S91" s="53"/>
      <c r="T91" s="53"/>
      <c r="U91" s="53"/>
      <c r="V91" s="134">
        <f t="shared" si="4"/>
        <v>0.91</v>
      </c>
      <c r="W91" s="182">
        <f>7.1*0.49</f>
        <v>3.4789999999999996</v>
      </c>
      <c r="X91" s="135" t="str">
        <f t="shared" si="5"/>
        <v>F</v>
      </c>
    </row>
    <row r="92" spans="1:24">
      <c r="A92" s="47">
        <v>182</v>
      </c>
      <c r="B92" s="49" t="s">
        <v>466</v>
      </c>
      <c r="C92" s="48">
        <v>2010</v>
      </c>
      <c r="D92" s="105" t="s">
        <v>467</v>
      </c>
      <c r="E92" s="46" t="s">
        <v>16</v>
      </c>
      <c r="F92" s="48">
        <v>2008</v>
      </c>
      <c r="G92" s="48" t="s">
        <v>469</v>
      </c>
      <c r="H92" s="48" t="s">
        <v>470</v>
      </c>
      <c r="I92" s="48"/>
      <c r="J92" s="87" t="s">
        <v>704</v>
      </c>
      <c r="K92" s="48" t="s">
        <v>687</v>
      </c>
      <c r="L92" s="48" t="s">
        <v>583</v>
      </c>
      <c r="M92" s="48"/>
      <c r="N92" s="48"/>
      <c r="O92" s="48" t="s">
        <v>479</v>
      </c>
      <c r="P92" s="48"/>
      <c r="Q92" s="48"/>
      <c r="R92" s="48">
        <v>0.94</v>
      </c>
      <c r="S92" s="53"/>
      <c r="T92" s="53"/>
      <c r="U92" s="53"/>
      <c r="V92" s="134">
        <f t="shared" si="4"/>
        <v>0.94</v>
      </c>
      <c r="W92" s="182">
        <f>5.4*0.48</f>
        <v>2.5920000000000001</v>
      </c>
      <c r="X92" s="135" t="str">
        <f t="shared" si="5"/>
        <v>F</v>
      </c>
    </row>
    <row r="93" spans="1:24">
      <c r="A93" s="47">
        <v>172</v>
      </c>
      <c r="B93" s="48" t="s">
        <v>302</v>
      </c>
      <c r="C93" s="48">
        <v>2010</v>
      </c>
      <c r="D93" s="48" t="s">
        <v>303</v>
      </c>
      <c r="E93" s="46" t="s">
        <v>305</v>
      </c>
      <c r="F93" s="50">
        <v>40224</v>
      </c>
      <c r="G93" s="48" t="s">
        <v>324</v>
      </c>
      <c r="H93" s="48" t="s">
        <v>301</v>
      </c>
      <c r="I93" s="48"/>
      <c r="J93" s="87" t="s">
        <v>704</v>
      </c>
      <c r="K93" s="48" t="s">
        <v>681</v>
      </c>
      <c r="L93" s="48" t="s">
        <v>325</v>
      </c>
      <c r="M93" s="51" t="s">
        <v>326</v>
      </c>
      <c r="N93" s="51"/>
      <c r="O93" s="48"/>
      <c r="P93" s="52"/>
      <c r="Q93" s="52"/>
      <c r="R93" s="48"/>
      <c r="S93" s="53"/>
      <c r="T93" s="53"/>
      <c r="U93" s="55">
        <v>0.95399999999999996</v>
      </c>
      <c r="V93" s="134">
        <f t="shared" si="4"/>
        <v>0.95399999999999996</v>
      </c>
      <c r="W93" s="183">
        <v>3.1259999999999999</v>
      </c>
      <c r="X93" s="135" t="str">
        <f t="shared" si="5"/>
        <v>F</v>
      </c>
    </row>
    <row r="94" spans="1:24">
      <c r="A94" s="47">
        <v>182</v>
      </c>
      <c r="B94" s="49" t="s">
        <v>466</v>
      </c>
      <c r="C94" s="48">
        <v>2010</v>
      </c>
      <c r="D94" s="105" t="s">
        <v>467</v>
      </c>
      <c r="E94" s="46" t="s">
        <v>16</v>
      </c>
      <c r="F94" s="48">
        <v>2008</v>
      </c>
      <c r="G94" s="48" t="s">
        <v>469</v>
      </c>
      <c r="H94" s="48" t="s">
        <v>470</v>
      </c>
      <c r="I94" s="48"/>
      <c r="J94" s="87" t="s">
        <v>704</v>
      </c>
      <c r="K94" s="48" t="s">
        <v>688</v>
      </c>
      <c r="L94" s="48" t="s">
        <v>582</v>
      </c>
      <c r="M94" s="48"/>
      <c r="N94" s="48"/>
      <c r="O94" s="48" t="s">
        <v>472</v>
      </c>
      <c r="P94" s="48"/>
      <c r="Q94" s="48"/>
      <c r="R94" s="48">
        <v>0.94</v>
      </c>
      <c r="S94" s="53"/>
      <c r="T94" s="53"/>
      <c r="U94" s="53"/>
      <c r="V94" s="134">
        <f t="shared" si="4"/>
        <v>0.94</v>
      </c>
      <c r="W94" s="182">
        <f>5.9*0.5</f>
        <v>2.95</v>
      </c>
      <c r="X94" s="135" t="str">
        <f t="shared" si="5"/>
        <v>F</v>
      </c>
    </row>
    <row r="95" spans="1:24">
      <c r="A95" s="47">
        <v>182</v>
      </c>
      <c r="B95" s="49" t="s">
        <v>466</v>
      </c>
      <c r="C95" s="48">
        <v>2010</v>
      </c>
      <c r="D95" s="105" t="s">
        <v>467</v>
      </c>
      <c r="E95" s="46" t="s">
        <v>16</v>
      </c>
      <c r="F95" s="48">
        <v>2008</v>
      </c>
      <c r="G95" s="48" t="s">
        <v>469</v>
      </c>
      <c r="H95" s="48" t="s">
        <v>470</v>
      </c>
      <c r="I95" s="48"/>
      <c r="J95" s="87" t="s">
        <v>704</v>
      </c>
      <c r="K95" s="48" t="s">
        <v>690</v>
      </c>
      <c r="L95" s="48" t="s">
        <v>585</v>
      </c>
      <c r="M95" s="48"/>
      <c r="N95" s="48"/>
      <c r="O95" s="48" t="s">
        <v>481</v>
      </c>
      <c r="P95" s="48"/>
      <c r="Q95" s="48"/>
      <c r="R95" s="48">
        <v>0.92</v>
      </c>
      <c r="S95" s="53"/>
      <c r="T95" s="53"/>
      <c r="U95" s="53"/>
      <c r="V95" s="134">
        <f t="shared" si="4"/>
        <v>0.92</v>
      </c>
      <c r="W95" s="182">
        <f>7.7*0.47</f>
        <v>3.6189999999999998</v>
      </c>
      <c r="X95" s="135" t="str">
        <f t="shared" si="5"/>
        <v>F</v>
      </c>
    </row>
    <row r="96" spans="1:24">
      <c r="A96" s="47">
        <v>182</v>
      </c>
      <c r="B96" s="49" t="s">
        <v>466</v>
      </c>
      <c r="C96" s="48">
        <v>2010</v>
      </c>
      <c r="D96" s="105" t="s">
        <v>467</v>
      </c>
      <c r="E96" s="46" t="s">
        <v>16</v>
      </c>
      <c r="F96" s="48">
        <v>2008</v>
      </c>
      <c r="G96" s="48" t="s">
        <v>469</v>
      </c>
      <c r="H96" s="48" t="s">
        <v>470</v>
      </c>
      <c r="I96" s="48"/>
      <c r="J96" s="87" t="s">
        <v>704</v>
      </c>
      <c r="K96" s="48" t="s">
        <v>693</v>
      </c>
      <c r="L96" s="48" t="s">
        <v>588</v>
      </c>
      <c r="M96" s="48"/>
      <c r="N96" s="48"/>
      <c r="O96" s="48" t="s">
        <v>482</v>
      </c>
      <c r="P96" s="48"/>
      <c r="Q96" s="48"/>
      <c r="R96" s="48">
        <v>0.92</v>
      </c>
      <c r="S96" s="53"/>
      <c r="T96" s="53"/>
      <c r="U96" s="53"/>
      <c r="V96" s="134">
        <f t="shared" si="4"/>
        <v>0.92</v>
      </c>
      <c r="W96" s="182">
        <f>10.5*0.5</f>
        <v>5.25</v>
      </c>
      <c r="X96" s="135" t="str">
        <f t="shared" si="5"/>
        <v>F</v>
      </c>
    </row>
  </sheetData>
  <sortState ref="A18:X40">
    <sortCondition descending="1" ref="V18:V40"/>
  </sortState>
  <dataValidations count="1">
    <dataValidation showInputMessage="1" showErrorMessage="1" sqref="A1:A9"/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9"/>
  <sheetViews>
    <sheetView workbookViewId="0">
      <pane ySplit="560" topLeftCell="A72" activePane="bottomLeft"/>
      <selection activeCell="AA1" sqref="AA1:AG1048576"/>
      <selection pane="bottomLeft" sqref="A1:D104"/>
    </sheetView>
  </sheetViews>
  <sheetFormatPr baseColWidth="10" defaultRowHeight="15" x14ac:dyDescent="0"/>
  <cols>
    <col min="11" max="11" width="38.5" bestFit="1" customWidth="1"/>
  </cols>
  <sheetData>
    <row r="1" spans="1:33">
      <c r="A1" s="34" t="s">
        <v>0</v>
      </c>
      <c r="B1" s="44" t="s">
        <v>1</v>
      </c>
      <c r="C1" s="100" t="s">
        <v>2</v>
      </c>
      <c r="D1" s="100" t="s">
        <v>3</v>
      </c>
      <c r="E1" s="44" t="s">
        <v>4</v>
      </c>
      <c r="F1" s="44" t="s">
        <v>5</v>
      </c>
      <c r="G1" s="44" t="s">
        <v>6</v>
      </c>
      <c r="H1" s="44" t="s">
        <v>7</v>
      </c>
      <c r="I1" s="44" t="s">
        <v>589</v>
      </c>
      <c r="J1" s="44" t="s">
        <v>702</v>
      </c>
      <c r="K1" s="88" t="s">
        <v>606</v>
      </c>
      <c r="L1" s="44" t="s">
        <v>8</v>
      </c>
      <c r="M1" s="44" t="s">
        <v>9</v>
      </c>
      <c r="N1" s="44" t="s">
        <v>10</v>
      </c>
      <c r="O1" s="45" t="s">
        <v>11</v>
      </c>
      <c r="P1" s="88" t="s">
        <v>789</v>
      </c>
      <c r="Q1" s="88" t="s">
        <v>790</v>
      </c>
      <c r="R1" s="88" t="s">
        <v>787</v>
      </c>
      <c r="S1" s="88" t="s">
        <v>791</v>
      </c>
      <c r="T1" s="88" t="s">
        <v>792</v>
      </c>
      <c r="U1" s="88" t="s">
        <v>539</v>
      </c>
      <c r="V1" s="88" t="s">
        <v>793</v>
      </c>
      <c r="W1" s="88" t="s">
        <v>823</v>
      </c>
      <c r="X1" s="90" t="s">
        <v>811</v>
      </c>
      <c r="Y1" s="88" t="s">
        <v>784</v>
      </c>
      <c r="Z1" s="90" t="s">
        <v>812</v>
      </c>
    </row>
    <row r="2" spans="1:33">
      <c r="A2" s="47">
        <v>144</v>
      </c>
      <c r="B2" s="74" t="s">
        <v>36</v>
      </c>
      <c r="C2" s="52">
        <v>1980</v>
      </c>
      <c r="D2" s="74" t="s">
        <v>287</v>
      </c>
      <c r="E2" s="46" t="s">
        <v>16</v>
      </c>
      <c r="F2" s="48"/>
      <c r="G2" s="48"/>
      <c r="H2" s="48"/>
      <c r="I2" s="48"/>
      <c r="J2" s="87" t="s">
        <v>594</v>
      </c>
      <c r="K2" s="48" t="s">
        <v>594</v>
      </c>
      <c r="L2" s="70" t="s">
        <v>299</v>
      </c>
      <c r="M2" s="48"/>
      <c r="N2" s="48"/>
      <c r="O2" s="48"/>
      <c r="P2" s="48"/>
      <c r="Q2" s="48"/>
      <c r="R2" s="48"/>
      <c r="S2" s="53"/>
      <c r="T2" s="53"/>
      <c r="U2" s="53"/>
      <c r="V2" s="53"/>
      <c r="W2" s="53"/>
      <c r="X2" s="134" t="str">
        <f t="shared" ref="X2:X33" si="0">IF(R2&lt;&gt;0,IF(R2&gt;1,R2/100,R2),IF(U2&lt;&gt;0,IF(U2&gt;1,U2/100,U2),""))</f>
        <v/>
      </c>
      <c r="Y2" s="180">
        <v>20.399999999999999</v>
      </c>
      <c r="Z2" s="135" t="str">
        <f t="shared" ref="Z2:Z33" si="1">IF(X2&lt;&gt;"",IF(X2&lt;0.9,"S","F"),"")</f>
        <v/>
      </c>
    </row>
    <row r="3" spans="1:33" s="95" customFormat="1">
      <c r="A3" s="197">
        <v>174</v>
      </c>
      <c r="B3" s="199" t="s">
        <v>407</v>
      </c>
      <c r="C3" s="199">
        <v>2009</v>
      </c>
      <c r="D3" s="206" t="s">
        <v>408</v>
      </c>
      <c r="E3" s="193" t="s">
        <v>16</v>
      </c>
      <c r="F3" s="213" t="s">
        <v>410</v>
      </c>
      <c r="G3" s="199" t="s">
        <v>115</v>
      </c>
      <c r="H3" s="199" t="s">
        <v>116</v>
      </c>
      <c r="I3" s="199"/>
      <c r="J3" s="194" t="s">
        <v>710</v>
      </c>
      <c r="K3" s="199" t="s">
        <v>676</v>
      </c>
      <c r="L3" s="199" t="s">
        <v>446</v>
      </c>
      <c r="M3" s="217"/>
      <c r="N3" s="217"/>
      <c r="O3" s="199" t="s">
        <v>446</v>
      </c>
      <c r="P3" s="202"/>
      <c r="Q3" s="202"/>
      <c r="R3" s="199"/>
      <c r="S3" s="200"/>
      <c r="T3" s="200"/>
      <c r="U3" s="218">
        <v>0.95699999999999996</v>
      </c>
      <c r="V3" s="200"/>
      <c r="W3" s="200"/>
      <c r="X3" s="137">
        <f t="shared" si="0"/>
        <v>0.95699999999999996</v>
      </c>
      <c r="Y3" s="224">
        <v>3.9</v>
      </c>
      <c r="Z3" s="138" t="str">
        <f t="shared" si="1"/>
        <v>F</v>
      </c>
      <c r="AA3" s="232" t="str">
        <f>+J3</f>
        <v>N conifer</v>
      </c>
      <c r="AB3" s="157" t="s">
        <v>814</v>
      </c>
      <c r="AC3" s="157" t="s">
        <v>815</v>
      </c>
      <c r="AD3" s="157" t="s">
        <v>816</v>
      </c>
      <c r="AE3" s="157" t="s">
        <v>817</v>
      </c>
      <c r="AF3" s="157" t="s">
        <v>818</v>
      </c>
      <c r="AG3" s="157" t="s">
        <v>819</v>
      </c>
    </row>
    <row r="4" spans="1:33" s="95" customFormat="1">
      <c r="A4" s="197">
        <v>119</v>
      </c>
      <c r="B4" s="202" t="s">
        <v>199</v>
      </c>
      <c r="C4" s="202">
        <v>2000</v>
      </c>
      <c r="D4" s="202" t="s">
        <v>205</v>
      </c>
      <c r="E4" s="193" t="s">
        <v>207</v>
      </c>
      <c r="F4" s="223">
        <v>35603</v>
      </c>
      <c r="G4" s="199" t="s">
        <v>218</v>
      </c>
      <c r="H4" s="199" t="s">
        <v>116</v>
      </c>
      <c r="I4" s="199" t="s">
        <v>590</v>
      </c>
      <c r="J4" s="194" t="s">
        <v>710</v>
      </c>
      <c r="K4" s="199" t="s">
        <v>638</v>
      </c>
      <c r="L4" s="199" t="s">
        <v>215</v>
      </c>
      <c r="M4" s="199" t="s">
        <v>117</v>
      </c>
      <c r="N4" s="202"/>
      <c r="O4" s="202" t="s">
        <v>219</v>
      </c>
      <c r="P4" s="199"/>
      <c r="Q4" s="199"/>
      <c r="R4" s="202"/>
      <c r="S4" s="215"/>
      <c r="T4" s="215"/>
      <c r="U4" s="200">
        <v>0.92900000000000005</v>
      </c>
      <c r="V4" s="225"/>
      <c r="W4" s="225"/>
      <c r="X4" s="137">
        <f t="shared" si="0"/>
        <v>0.92900000000000005</v>
      </c>
      <c r="Y4" s="226">
        <v>1.61</v>
      </c>
      <c r="Z4" s="138" t="str">
        <f t="shared" si="1"/>
        <v>F</v>
      </c>
      <c r="AA4" s="228" t="s">
        <v>813</v>
      </c>
      <c r="AB4" s="229">
        <f>AVERAGE($Y$3:$Y$4)</f>
        <v>2.7549999999999999</v>
      </c>
      <c r="AC4" s="229">
        <f>MEDIAN($Y$3:$Y$4)</f>
        <v>2.7549999999999999</v>
      </c>
      <c r="AD4" s="229">
        <f>MAX($Y$3:$Y$4)</f>
        <v>3.9</v>
      </c>
      <c r="AE4" s="229">
        <f>MIN($Y$3:$Y$4)</f>
        <v>1.61</v>
      </c>
      <c r="AF4" s="229">
        <f>STDEV($Y$3:$Y$4)</f>
        <v>1.6192745289171937</v>
      </c>
      <c r="AG4" s="230">
        <f>COUNT($Y$3:$Y$4)</f>
        <v>2</v>
      </c>
    </row>
    <row r="5" spans="1:33">
      <c r="A5" s="47">
        <v>174</v>
      </c>
      <c r="B5" s="48" t="s">
        <v>407</v>
      </c>
      <c r="C5" s="48">
        <v>2009</v>
      </c>
      <c r="D5" s="74" t="s">
        <v>408</v>
      </c>
      <c r="E5" s="46" t="s">
        <v>16</v>
      </c>
      <c r="F5" s="50" t="s">
        <v>410</v>
      </c>
      <c r="G5" s="48" t="s">
        <v>435</v>
      </c>
      <c r="H5" s="48" t="s">
        <v>116</v>
      </c>
      <c r="I5" s="48"/>
      <c r="J5" s="87" t="s">
        <v>750</v>
      </c>
      <c r="K5" s="48" t="s">
        <v>600</v>
      </c>
      <c r="L5" s="48" t="s">
        <v>436</v>
      </c>
      <c r="M5" s="56"/>
      <c r="N5" s="56"/>
      <c r="O5" s="48" t="s">
        <v>436</v>
      </c>
      <c r="P5" s="52"/>
      <c r="Q5" s="52"/>
      <c r="R5" s="48"/>
      <c r="S5" s="53"/>
      <c r="T5" s="53"/>
      <c r="U5" s="54">
        <v>0.86699999999999999</v>
      </c>
      <c r="V5" s="53"/>
      <c r="W5" s="53"/>
      <c r="X5" s="134">
        <f t="shared" si="0"/>
        <v>0.86699999999999999</v>
      </c>
      <c r="Y5" s="185">
        <v>2</v>
      </c>
      <c r="Z5" s="135" t="str">
        <f t="shared" si="1"/>
        <v>S</v>
      </c>
    </row>
    <row r="6" spans="1:33">
      <c r="A6" s="47">
        <v>172</v>
      </c>
      <c r="B6" s="48" t="s">
        <v>302</v>
      </c>
      <c r="C6" s="48">
        <v>2010</v>
      </c>
      <c r="D6" s="48" t="s">
        <v>303</v>
      </c>
      <c r="E6" s="46" t="s">
        <v>305</v>
      </c>
      <c r="F6" s="50">
        <v>40233</v>
      </c>
      <c r="G6" s="48" t="s">
        <v>345</v>
      </c>
      <c r="H6" s="48" t="s">
        <v>116</v>
      </c>
      <c r="I6" s="48"/>
      <c r="J6" s="87" t="s">
        <v>750</v>
      </c>
      <c r="K6" s="48" t="s">
        <v>600</v>
      </c>
      <c r="L6" s="48" t="s">
        <v>346</v>
      </c>
      <c r="M6" s="51"/>
      <c r="N6" s="51"/>
      <c r="O6" s="48"/>
      <c r="P6" s="52"/>
      <c r="Q6" s="52"/>
      <c r="R6" s="48"/>
      <c r="S6" s="53"/>
      <c r="T6" s="53"/>
      <c r="U6" s="54">
        <v>0.82699999999999996</v>
      </c>
      <c r="V6" s="55"/>
      <c r="W6" s="55"/>
      <c r="X6" s="134">
        <f t="shared" si="0"/>
        <v>0.82699999999999996</v>
      </c>
      <c r="Y6" s="184">
        <v>0.73799999999999999</v>
      </c>
      <c r="Z6" s="135" t="str">
        <f t="shared" si="1"/>
        <v>S</v>
      </c>
    </row>
    <row r="7" spans="1:33">
      <c r="A7" s="47">
        <v>174</v>
      </c>
      <c r="B7" s="48" t="s">
        <v>407</v>
      </c>
      <c r="C7" s="48">
        <v>2009</v>
      </c>
      <c r="D7" s="74" t="s">
        <v>408</v>
      </c>
      <c r="E7" s="46" t="s">
        <v>16</v>
      </c>
      <c r="F7" s="50" t="s">
        <v>410</v>
      </c>
      <c r="G7" s="48" t="s">
        <v>435</v>
      </c>
      <c r="H7" s="48" t="s">
        <v>116</v>
      </c>
      <c r="I7" s="48"/>
      <c r="J7" s="87" t="s">
        <v>750</v>
      </c>
      <c r="K7" s="48" t="s">
        <v>675</v>
      </c>
      <c r="L7" s="48" t="s">
        <v>437</v>
      </c>
      <c r="M7" s="56"/>
      <c r="N7" s="56"/>
      <c r="O7" s="48" t="s">
        <v>438</v>
      </c>
      <c r="P7" s="52"/>
      <c r="Q7" s="52"/>
      <c r="R7" s="48"/>
      <c r="S7" s="53"/>
      <c r="T7" s="53"/>
      <c r="U7" s="54">
        <v>0.91700000000000004</v>
      </c>
      <c r="V7" s="53"/>
      <c r="W7" s="53"/>
      <c r="X7" s="134">
        <f t="shared" si="0"/>
        <v>0.91700000000000004</v>
      </c>
      <c r="Y7" s="185">
        <v>3.3</v>
      </c>
      <c r="Z7" s="135" t="str">
        <f t="shared" si="1"/>
        <v>F</v>
      </c>
    </row>
    <row r="8" spans="1:33" s="95" customFormat="1">
      <c r="A8" s="197">
        <v>119</v>
      </c>
      <c r="B8" s="202" t="s">
        <v>199</v>
      </c>
      <c r="C8" s="202">
        <v>2000</v>
      </c>
      <c r="D8" s="202" t="s">
        <v>205</v>
      </c>
      <c r="E8" s="193" t="s">
        <v>207</v>
      </c>
      <c r="F8" s="223">
        <v>35594</v>
      </c>
      <c r="G8" s="199" t="s">
        <v>208</v>
      </c>
      <c r="H8" s="199" t="s">
        <v>116</v>
      </c>
      <c r="I8" s="199" t="s">
        <v>590</v>
      </c>
      <c r="J8" s="194" t="s">
        <v>751</v>
      </c>
      <c r="K8" s="199" t="s">
        <v>607</v>
      </c>
      <c r="L8" s="199" t="s">
        <v>209</v>
      </c>
      <c r="M8" s="199" t="s">
        <v>210</v>
      </c>
      <c r="N8" s="199" t="s">
        <v>211</v>
      </c>
      <c r="O8" s="199" t="s">
        <v>212</v>
      </c>
      <c r="P8" s="199"/>
      <c r="Q8" s="199"/>
      <c r="R8" s="199"/>
      <c r="S8" s="200"/>
      <c r="T8" s="200"/>
      <c r="U8" s="200">
        <v>0.92500000000000004</v>
      </c>
      <c r="V8" s="225"/>
      <c r="W8" s="225"/>
      <c r="X8" s="137">
        <f t="shared" si="0"/>
        <v>0.92500000000000004</v>
      </c>
      <c r="Y8" s="226">
        <v>2.27</v>
      </c>
      <c r="Z8" s="138" t="str">
        <f t="shared" si="1"/>
        <v>F</v>
      </c>
      <c r="AA8" s="95" t="s">
        <v>813</v>
      </c>
      <c r="AB8" s="227">
        <f>+Y8</f>
        <v>2.27</v>
      </c>
      <c r="AG8" s="95">
        <f>COUNT(Y8)</f>
        <v>1</v>
      </c>
    </row>
    <row r="9" spans="1:33">
      <c r="A9" s="47">
        <v>174</v>
      </c>
      <c r="B9" s="48" t="s">
        <v>407</v>
      </c>
      <c r="C9" s="48">
        <v>2009</v>
      </c>
      <c r="D9" s="74" t="s">
        <v>408</v>
      </c>
      <c r="E9" s="46" t="s">
        <v>16</v>
      </c>
      <c r="F9" s="50" t="s">
        <v>410</v>
      </c>
      <c r="G9" s="48" t="s">
        <v>450</v>
      </c>
      <c r="H9" s="48" t="s">
        <v>450</v>
      </c>
      <c r="I9" s="48"/>
      <c r="J9" s="87" t="s">
        <v>591</v>
      </c>
      <c r="K9" s="48" t="s">
        <v>591</v>
      </c>
      <c r="L9" s="48" t="s">
        <v>451</v>
      </c>
      <c r="M9" s="56"/>
      <c r="N9" s="56"/>
      <c r="O9" s="48" t="s">
        <v>452</v>
      </c>
      <c r="P9" s="52"/>
      <c r="Q9" s="52"/>
      <c r="R9" s="48"/>
      <c r="S9" s="53"/>
      <c r="T9" s="53"/>
      <c r="U9" s="54">
        <v>0.96499999999999997</v>
      </c>
      <c r="V9" s="53"/>
      <c r="W9" s="53"/>
      <c r="X9" s="134">
        <f t="shared" si="0"/>
        <v>0.96499999999999997</v>
      </c>
      <c r="Y9" s="185">
        <v>3.5</v>
      </c>
      <c r="Z9" s="135" t="str">
        <f t="shared" si="1"/>
        <v>F</v>
      </c>
      <c r="AA9" s="179" t="str">
        <f>+J9</f>
        <v>SE grass</v>
      </c>
      <c r="AB9" s="175" t="s">
        <v>814</v>
      </c>
      <c r="AC9" s="175" t="s">
        <v>815</v>
      </c>
      <c r="AD9" s="175" t="s">
        <v>816</v>
      </c>
      <c r="AE9" s="175" t="s">
        <v>817</v>
      </c>
      <c r="AF9" s="175" t="s">
        <v>818</v>
      </c>
      <c r="AG9" s="175" t="s">
        <v>819</v>
      </c>
    </row>
    <row r="10" spans="1:33">
      <c r="A10" s="47">
        <v>172</v>
      </c>
      <c r="B10" s="48" t="s">
        <v>302</v>
      </c>
      <c r="C10" s="48">
        <v>2010</v>
      </c>
      <c r="D10" s="48" t="s">
        <v>303</v>
      </c>
      <c r="E10" s="46" t="s">
        <v>305</v>
      </c>
      <c r="F10" s="50">
        <v>40228</v>
      </c>
      <c r="G10" s="48" t="s">
        <v>258</v>
      </c>
      <c r="H10" s="48" t="s">
        <v>20</v>
      </c>
      <c r="I10" s="48"/>
      <c r="J10" s="87" t="s">
        <v>591</v>
      </c>
      <c r="K10" s="48" t="s">
        <v>619</v>
      </c>
      <c r="L10" s="48" t="s">
        <v>334</v>
      </c>
      <c r="M10" s="51" t="s">
        <v>592</v>
      </c>
      <c r="N10" s="51"/>
      <c r="O10" s="48"/>
      <c r="P10" s="52"/>
      <c r="Q10" s="52"/>
      <c r="R10" s="48"/>
      <c r="S10" s="53"/>
      <c r="T10" s="53"/>
      <c r="U10" s="55">
        <v>0.93400000000000005</v>
      </c>
      <c r="V10" s="54"/>
      <c r="W10" s="54"/>
      <c r="X10" s="134">
        <f t="shared" si="0"/>
        <v>0.93400000000000005</v>
      </c>
      <c r="Y10" s="183">
        <v>1.98</v>
      </c>
      <c r="Z10" s="135" t="str">
        <f t="shared" si="1"/>
        <v>F</v>
      </c>
      <c r="AA10" s="175" t="s">
        <v>813</v>
      </c>
      <c r="AB10" s="176">
        <f>AVERAGE($Y$9:$Y$14)</f>
        <v>4.2561666666666662</v>
      </c>
      <c r="AC10" s="176">
        <f>MEDIAN($Y$9:$Y$14)</f>
        <v>3.65</v>
      </c>
      <c r="AD10" s="176">
        <f>MAX($Y$9:$Y$14)</f>
        <v>8.1</v>
      </c>
      <c r="AE10" s="176">
        <f>MIN($Y$9:$Y$14)</f>
        <v>1.98</v>
      </c>
      <c r="AF10" s="176">
        <f>STDEV($Y$9:$Y$14)</f>
        <v>2.3424227130615578</v>
      </c>
      <c r="AG10" s="231">
        <f>COUNT($Y$9:$Y$14)</f>
        <v>6</v>
      </c>
    </row>
    <row r="11" spans="1:33">
      <c r="A11" s="47">
        <v>172</v>
      </c>
      <c r="B11" s="48" t="s">
        <v>302</v>
      </c>
      <c r="C11" s="48">
        <v>2010</v>
      </c>
      <c r="D11" s="48" t="s">
        <v>303</v>
      </c>
      <c r="E11" s="46" t="s">
        <v>305</v>
      </c>
      <c r="F11" s="50">
        <v>40229</v>
      </c>
      <c r="G11" s="48" t="s">
        <v>258</v>
      </c>
      <c r="H11" s="48" t="s">
        <v>20</v>
      </c>
      <c r="I11" s="48"/>
      <c r="J11" s="87" t="s">
        <v>591</v>
      </c>
      <c r="K11" s="48" t="s">
        <v>619</v>
      </c>
      <c r="L11" s="48" t="s">
        <v>335</v>
      </c>
      <c r="M11" s="51" t="s">
        <v>592</v>
      </c>
      <c r="N11" s="51"/>
      <c r="O11" s="48"/>
      <c r="P11" s="52"/>
      <c r="Q11" s="52"/>
      <c r="R11" s="48"/>
      <c r="S11" s="53"/>
      <c r="T11" s="53"/>
      <c r="U11" s="55">
        <v>0.92700000000000005</v>
      </c>
      <c r="V11" s="54"/>
      <c r="W11" s="54"/>
      <c r="X11" s="134">
        <f t="shared" si="0"/>
        <v>0.92700000000000005</v>
      </c>
      <c r="Y11" s="183">
        <v>2.2570000000000001</v>
      </c>
      <c r="Z11" s="135" t="str">
        <f t="shared" si="1"/>
        <v>F</v>
      </c>
    </row>
    <row r="12" spans="1:33">
      <c r="A12" s="47">
        <v>174</v>
      </c>
      <c r="B12" s="48" t="s">
        <v>407</v>
      </c>
      <c r="C12" s="48">
        <v>2009</v>
      </c>
      <c r="D12" s="74" t="s">
        <v>408</v>
      </c>
      <c r="E12" s="46" t="s">
        <v>16</v>
      </c>
      <c r="F12" s="50" t="s">
        <v>410</v>
      </c>
      <c r="G12" s="48" t="s">
        <v>415</v>
      </c>
      <c r="H12" s="48" t="s">
        <v>22</v>
      </c>
      <c r="I12" s="48"/>
      <c r="J12" s="87" t="s">
        <v>591</v>
      </c>
      <c r="K12" s="48" t="s">
        <v>637</v>
      </c>
      <c r="L12" s="48" t="s">
        <v>416</v>
      </c>
      <c r="M12" s="56"/>
      <c r="N12" s="56"/>
      <c r="O12" s="48" t="s">
        <v>416</v>
      </c>
      <c r="P12" s="52"/>
      <c r="Q12" s="52"/>
      <c r="R12" s="48"/>
      <c r="S12" s="53"/>
      <c r="T12" s="53"/>
      <c r="U12" s="54">
        <v>0.89100000000000001</v>
      </c>
      <c r="V12" s="53"/>
      <c r="W12" s="53"/>
      <c r="X12" s="134">
        <f t="shared" si="0"/>
        <v>0.89100000000000001</v>
      </c>
      <c r="Y12" s="185">
        <v>3.8</v>
      </c>
      <c r="Z12" s="135" t="str">
        <f t="shared" si="1"/>
        <v>S</v>
      </c>
    </row>
    <row r="13" spans="1:33">
      <c r="A13" s="47">
        <v>174</v>
      </c>
      <c r="B13" s="48" t="s">
        <v>407</v>
      </c>
      <c r="C13" s="48">
        <v>2009</v>
      </c>
      <c r="D13" s="74" t="s">
        <v>408</v>
      </c>
      <c r="E13" s="46" t="s">
        <v>16</v>
      </c>
      <c r="F13" s="50" t="s">
        <v>410</v>
      </c>
      <c r="G13" s="48" t="s">
        <v>419</v>
      </c>
      <c r="H13" s="48" t="s">
        <v>21</v>
      </c>
      <c r="I13" s="48"/>
      <c r="J13" s="87" t="s">
        <v>591</v>
      </c>
      <c r="K13" s="48" t="s">
        <v>640</v>
      </c>
      <c r="L13" s="48" t="s">
        <v>420</v>
      </c>
      <c r="M13" s="56"/>
      <c r="N13" s="56"/>
      <c r="O13" s="48" t="s">
        <v>420</v>
      </c>
      <c r="P13" s="52"/>
      <c r="Q13" s="52"/>
      <c r="R13" s="48"/>
      <c r="S13" s="53"/>
      <c r="T13" s="53"/>
      <c r="U13" s="54">
        <v>0.95699999999999996</v>
      </c>
      <c r="V13" s="53"/>
      <c r="W13" s="53"/>
      <c r="X13" s="134">
        <f t="shared" si="0"/>
        <v>0.95699999999999996</v>
      </c>
      <c r="Y13" s="185">
        <v>8.1</v>
      </c>
      <c r="Z13" s="135" t="str">
        <f t="shared" si="1"/>
        <v>F</v>
      </c>
    </row>
    <row r="14" spans="1:33">
      <c r="A14" s="47">
        <v>174</v>
      </c>
      <c r="B14" s="48" t="s">
        <v>407</v>
      </c>
      <c r="C14" s="48">
        <v>2009</v>
      </c>
      <c r="D14" s="74" t="s">
        <v>408</v>
      </c>
      <c r="E14" s="46" t="s">
        <v>16</v>
      </c>
      <c r="F14" s="50" t="s">
        <v>410</v>
      </c>
      <c r="G14" s="48" t="s">
        <v>425</v>
      </c>
      <c r="H14" s="48" t="s">
        <v>21</v>
      </c>
      <c r="I14" s="48"/>
      <c r="J14" s="87" t="s">
        <v>591</v>
      </c>
      <c r="K14" s="48" t="s">
        <v>639</v>
      </c>
      <c r="L14" s="48" t="s">
        <v>426</v>
      </c>
      <c r="M14" s="56"/>
      <c r="N14" s="56"/>
      <c r="O14" s="48" t="s">
        <v>26</v>
      </c>
      <c r="P14" s="52"/>
      <c r="Q14" s="52"/>
      <c r="R14" s="48"/>
      <c r="S14" s="53"/>
      <c r="T14" s="53"/>
      <c r="U14" s="54">
        <v>0.9</v>
      </c>
      <c r="V14" s="53"/>
      <c r="W14" s="53"/>
      <c r="X14" s="134">
        <f t="shared" si="0"/>
        <v>0.9</v>
      </c>
      <c r="Y14" s="185">
        <v>5.9</v>
      </c>
      <c r="Z14" s="135" t="str">
        <f t="shared" si="1"/>
        <v>F</v>
      </c>
    </row>
    <row r="15" spans="1:33" s="95" customFormat="1">
      <c r="A15" s="197">
        <v>174</v>
      </c>
      <c r="B15" s="199" t="s">
        <v>407</v>
      </c>
      <c r="C15" s="199">
        <v>2009</v>
      </c>
      <c r="D15" s="206" t="s">
        <v>408</v>
      </c>
      <c r="E15" s="193" t="s">
        <v>16</v>
      </c>
      <c r="F15" s="213" t="s">
        <v>410</v>
      </c>
      <c r="G15" s="199"/>
      <c r="H15" s="199"/>
      <c r="I15" s="199"/>
      <c r="J15" s="194" t="s">
        <v>604</v>
      </c>
      <c r="K15" s="199" t="s">
        <v>646</v>
      </c>
      <c r="L15" s="199" t="s">
        <v>433</v>
      </c>
      <c r="M15" s="217"/>
      <c r="N15" s="217"/>
      <c r="O15" s="199" t="s">
        <v>433</v>
      </c>
      <c r="P15" s="202"/>
      <c r="Q15" s="202"/>
      <c r="R15" s="199"/>
      <c r="S15" s="200"/>
      <c r="T15" s="200"/>
      <c r="U15" s="218">
        <v>0.94299999999999995</v>
      </c>
      <c r="V15" s="200"/>
      <c r="W15" s="200"/>
      <c r="X15" s="137">
        <f t="shared" si="0"/>
        <v>0.94299999999999995</v>
      </c>
      <c r="Y15" s="224">
        <v>9.6</v>
      </c>
      <c r="Z15" s="138" t="str">
        <f t="shared" si="1"/>
        <v>F</v>
      </c>
      <c r="AA15" s="232" t="str">
        <f>+J15</f>
        <v>SE hardwood</v>
      </c>
      <c r="AB15" s="157" t="s">
        <v>814</v>
      </c>
      <c r="AC15" s="157" t="s">
        <v>815</v>
      </c>
      <c r="AD15" s="157" t="s">
        <v>816</v>
      </c>
      <c r="AE15" s="157" t="s">
        <v>817</v>
      </c>
      <c r="AF15" s="157" t="s">
        <v>818</v>
      </c>
      <c r="AG15" s="157" t="s">
        <v>819</v>
      </c>
    </row>
    <row r="16" spans="1:33" s="95" customFormat="1">
      <c r="A16" s="197">
        <v>172</v>
      </c>
      <c r="B16" s="199" t="s">
        <v>302</v>
      </c>
      <c r="C16" s="199">
        <v>2010</v>
      </c>
      <c r="D16" s="199" t="s">
        <v>303</v>
      </c>
      <c r="E16" s="193" t="s">
        <v>305</v>
      </c>
      <c r="F16" s="213">
        <v>40231</v>
      </c>
      <c r="G16" s="199" t="s">
        <v>258</v>
      </c>
      <c r="H16" s="199" t="s">
        <v>20</v>
      </c>
      <c r="I16" s="199"/>
      <c r="J16" s="194" t="s">
        <v>604</v>
      </c>
      <c r="K16" s="199" t="s">
        <v>617</v>
      </c>
      <c r="L16" s="199" t="s">
        <v>339</v>
      </c>
      <c r="M16" s="214" t="s">
        <v>340</v>
      </c>
      <c r="N16" s="214" t="s">
        <v>341</v>
      </c>
      <c r="O16" s="199"/>
      <c r="P16" s="202"/>
      <c r="Q16" s="202"/>
      <c r="R16" s="199"/>
      <c r="S16" s="200"/>
      <c r="T16" s="200"/>
      <c r="U16" s="215">
        <v>0.95899999999999996</v>
      </c>
      <c r="V16" s="218"/>
      <c r="W16" s="218"/>
      <c r="X16" s="137">
        <f t="shared" si="0"/>
        <v>0.95899999999999996</v>
      </c>
      <c r="Y16" s="216">
        <v>1.365</v>
      </c>
      <c r="Z16" s="138" t="str">
        <f t="shared" si="1"/>
        <v>F</v>
      </c>
      <c r="AA16" s="228" t="s">
        <v>813</v>
      </c>
      <c r="AB16" s="229">
        <f>AVERAGE($Y$15:$Y$18)</f>
        <v>4.7785000000000002</v>
      </c>
      <c r="AC16" s="229">
        <f>MEDIAN($Y$15:$Y$18)</f>
        <v>4.0744999999999996</v>
      </c>
      <c r="AD16" s="229">
        <f>MAX($Y$15:$Y$18)</f>
        <v>9.6</v>
      </c>
      <c r="AE16" s="229">
        <f>MIN($Y$15:$Y$18)</f>
        <v>1.365</v>
      </c>
      <c r="AF16" s="229">
        <f>STDEV($Y$15:$Y$18)</f>
        <v>3.9070780642316318</v>
      </c>
      <c r="AG16" s="230">
        <f>COUNT($Y$15:$Y$18)</f>
        <v>4</v>
      </c>
    </row>
    <row r="17" spans="1:33" s="95" customFormat="1">
      <c r="A17" s="197">
        <v>174</v>
      </c>
      <c r="B17" s="199" t="s">
        <v>407</v>
      </c>
      <c r="C17" s="199">
        <v>2009</v>
      </c>
      <c r="D17" s="206" t="s">
        <v>408</v>
      </c>
      <c r="E17" s="193" t="s">
        <v>16</v>
      </c>
      <c r="F17" s="213" t="s">
        <v>410</v>
      </c>
      <c r="G17" s="199" t="s">
        <v>20</v>
      </c>
      <c r="H17" s="199" t="s">
        <v>20</v>
      </c>
      <c r="I17" s="199"/>
      <c r="J17" s="194" t="s">
        <v>604</v>
      </c>
      <c r="K17" s="199" t="s">
        <v>641</v>
      </c>
      <c r="L17" s="199" t="s">
        <v>413</v>
      </c>
      <c r="M17" s="217"/>
      <c r="N17" s="217"/>
      <c r="O17" s="199" t="s">
        <v>413</v>
      </c>
      <c r="P17" s="202"/>
      <c r="Q17" s="202"/>
      <c r="R17" s="199"/>
      <c r="S17" s="200"/>
      <c r="T17" s="200"/>
      <c r="U17" s="218">
        <v>0.88600000000000001</v>
      </c>
      <c r="V17" s="200"/>
      <c r="W17" s="200"/>
      <c r="X17" s="137">
        <f t="shared" si="0"/>
        <v>0.88600000000000001</v>
      </c>
      <c r="Y17" s="224">
        <v>6.3</v>
      </c>
      <c r="Z17" s="138" t="str">
        <f t="shared" si="1"/>
        <v>S</v>
      </c>
    </row>
    <row r="18" spans="1:33" s="95" customFormat="1">
      <c r="A18" s="197">
        <v>172</v>
      </c>
      <c r="B18" s="199" t="s">
        <v>302</v>
      </c>
      <c r="C18" s="199">
        <v>2010</v>
      </c>
      <c r="D18" s="199" t="s">
        <v>303</v>
      </c>
      <c r="E18" s="193" t="s">
        <v>305</v>
      </c>
      <c r="F18" s="213">
        <v>40232</v>
      </c>
      <c r="G18" s="199" t="s">
        <v>258</v>
      </c>
      <c r="H18" s="199" t="s">
        <v>20</v>
      </c>
      <c r="I18" s="199"/>
      <c r="J18" s="194" t="s">
        <v>604</v>
      </c>
      <c r="K18" s="199" t="s">
        <v>618</v>
      </c>
      <c r="L18" s="199" t="s">
        <v>342</v>
      </c>
      <c r="M18" s="214" t="s">
        <v>343</v>
      </c>
      <c r="N18" s="214" t="s">
        <v>344</v>
      </c>
      <c r="O18" s="199"/>
      <c r="P18" s="202"/>
      <c r="Q18" s="202"/>
      <c r="R18" s="199"/>
      <c r="S18" s="200"/>
      <c r="T18" s="200"/>
      <c r="U18" s="215">
        <v>0.95399999999999996</v>
      </c>
      <c r="V18" s="218"/>
      <c r="W18" s="218"/>
      <c r="X18" s="137">
        <f t="shared" si="0"/>
        <v>0.95399999999999996</v>
      </c>
      <c r="Y18" s="216">
        <v>1.849</v>
      </c>
      <c r="Z18" s="138" t="str">
        <f t="shared" si="1"/>
        <v>F</v>
      </c>
    </row>
    <row r="19" spans="1:33">
      <c r="A19" s="47">
        <v>173</v>
      </c>
      <c r="B19" s="48" t="s">
        <v>302</v>
      </c>
      <c r="C19" s="48">
        <v>2011</v>
      </c>
      <c r="D19" s="74" t="s">
        <v>352</v>
      </c>
      <c r="E19" s="46" t="s">
        <v>354</v>
      </c>
      <c r="F19" s="50" t="s">
        <v>355</v>
      </c>
      <c r="G19" s="48" t="s">
        <v>258</v>
      </c>
      <c r="H19" s="48" t="s">
        <v>20</v>
      </c>
      <c r="I19" s="48"/>
      <c r="J19" s="87" t="s">
        <v>703</v>
      </c>
      <c r="K19" s="48" t="s">
        <v>620</v>
      </c>
      <c r="L19" s="48" t="s">
        <v>356</v>
      </c>
      <c r="M19" s="56"/>
      <c r="N19" s="56"/>
      <c r="O19" s="48" t="s">
        <v>357</v>
      </c>
      <c r="P19" s="52"/>
      <c r="Q19" s="52"/>
      <c r="R19" s="48"/>
      <c r="S19" s="53"/>
      <c r="T19" s="53"/>
      <c r="U19" s="54">
        <v>0.94299999999999995</v>
      </c>
      <c r="V19" s="53"/>
      <c r="W19" s="53"/>
      <c r="X19" s="134">
        <f t="shared" si="0"/>
        <v>0.94299999999999995</v>
      </c>
      <c r="Y19" s="180">
        <v>0.83</v>
      </c>
      <c r="Z19" s="135" t="str">
        <f t="shared" si="1"/>
        <v>F</v>
      </c>
      <c r="AA19" s="179" t="str">
        <f>+J19</f>
        <v>SE pine</v>
      </c>
      <c r="AB19" s="175" t="s">
        <v>814</v>
      </c>
      <c r="AC19" s="175" t="s">
        <v>815</v>
      </c>
      <c r="AD19" s="175" t="s">
        <v>816</v>
      </c>
      <c r="AE19" s="175" t="s">
        <v>817</v>
      </c>
      <c r="AF19" s="175" t="s">
        <v>818</v>
      </c>
      <c r="AG19" s="175" t="s">
        <v>819</v>
      </c>
    </row>
    <row r="20" spans="1:33">
      <c r="A20" s="47">
        <v>173</v>
      </c>
      <c r="B20" s="48" t="s">
        <v>302</v>
      </c>
      <c r="C20" s="48">
        <v>2011</v>
      </c>
      <c r="D20" s="74" t="s">
        <v>352</v>
      </c>
      <c r="E20" s="46" t="s">
        <v>354</v>
      </c>
      <c r="F20" s="50" t="s">
        <v>358</v>
      </c>
      <c r="G20" s="48" t="s">
        <v>359</v>
      </c>
      <c r="H20" s="48" t="s">
        <v>20</v>
      </c>
      <c r="I20" s="48"/>
      <c r="J20" s="87" t="s">
        <v>703</v>
      </c>
      <c r="K20" s="48" t="s">
        <v>622</v>
      </c>
      <c r="L20" s="48" t="s">
        <v>360</v>
      </c>
      <c r="M20" s="56"/>
      <c r="N20" s="56"/>
      <c r="O20" s="48" t="s">
        <v>361</v>
      </c>
      <c r="P20" s="52"/>
      <c r="Q20" s="52"/>
      <c r="R20" s="48"/>
      <c r="S20" s="53"/>
      <c r="T20" s="53"/>
      <c r="U20" s="54">
        <v>0.95099999999999996</v>
      </c>
      <c r="V20" s="53"/>
      <c r="W20" s="53"/>
      <c r="X20" s="134">
        <f t="shared" si="0"/>
        <v>0.95099999999999996</v>
      </c>
      <c r="Y20" s="180">
        <v>1.28</v>
      </c>
      <c r="Z20" s="135" t="str">
        <f t="shared" si="1"/>
        <v>F</v>
      </c>
      <c r="AA20" s="175" t="s">
        <v>813</v>
      </c>
      <c r="AB20" s="176">
        <f>AVERAGE($Y$19:$Y$40)</f>
        <v>1.6713636363636359</v>
      </c>
      <c r="AC20" s="176">
        <f>MEDIAN($Y$19:$Y$40)</f>
        <v>0.91</v>
      </c>
      <c r="AD20" s="176">
        <f>MAX($Y$19:$Y$40)</f>
        <v>7.01</v>
      </c>
      <c r="AE20" s="176">
        <f>MIN($Y$19:$Y$40)</f>
        <v>0.23</v>
      </c>
      <c r="AF20" s="176">
        <f>STDEV($Y$19:$Y$40)</f>
        <v>1.8595245051575382</v>
      </c>
      <c r="AG20" s="231">
        <f>COUNT($Y$19:$Y$40)</f>
        <v>22</v>
      </c>
    </row>
    <row r="21" spans="1:33">
      <c r="A21" s="47">
        <v>172</v>
      </c>
      <c r="B21" s="48" t="s">
        <v>302</v>
      </c>
      <c r="C21" s="48">
        <v>2010</v>
      </c>
      <c r="D21" s="48" t="s">
        <v>303</v>
      </c>
      <c r="E21" s="46" t="s">
        <v>305</v>
      </c>
      <c r="F21" s="50">
        <v>40227</v>
      </c>
      <c r="G21" s="48" t="s">
        <v>332</v>
      </c>
      <c r="H21" s="48" t="s">
        <v>18</v>
      </c>
      <c r="I21" s="48"/>
      <c r="J21" s="87" t="s">
        <v>703</v>
      </c>
      <c r="K21" s="87" t="s">
        <v>627</v>
      </c>
      <c r="L21" s="48" t="s">
        <v>333</v>
      </c>
      <c r="M21" s="51"/>
      <c r="N21" s="51"/>
      <c r="O21" s="48"/>
      <c r="P21" s="52"/>
      <c r="Q21" s="52"/>
      <c r="R21" s="48"/>
      <c r="S21" s="53"/>
      <c r="T21" s="53"/>
      <c r="U21" s="55">
        <v>0.89400000000000002</v>
      </c>
      <c r="V21" s="54"/>
      <c r="W21" s="54"/>
      <c r="X21" s="134">
        <f t="shared" si="0"/>
        <v>0.89400000000000002</v>
      </c>
      <c r="Y21" s="183">
        <v>1.86</v>
      </c>
      <c r="Z21" s="135" t="str">
        <f t="shared" si="1"/>
        <v>S</v>
      </c>
    </row>
    <row r="22" spans="1:33">
      <c r="A22" s="47">
        <v>144</v>
      </c>
      <c r="B22" s="74" t="s">
        <v>36</v>
      </c>
      <c r="C22" s="52">
        <v>1980</v>
      </c>
      <c r="D22" s="74" t="s">
        <v>287</v>
      </c>
      <c r="E22" s="46" t="s">
        <v>16</v>
      </c>
      <c r="F22" s="48"/>
      <c r="G22" s="48"/>
      <c r="H22" s="48"/>
      <c r="I22" s="48"/>
      <c r="J22" s="87" t="s">
        <v>703</v>
      </c>
      <c r="K22" s="48" t="s">
        <v>699</v>
      </c>
      <c r="L22" s="70" t="s">
        <v>297</v>
      </c>
      <c r="M22" s="48"/>
      <c r="N22" s="48"/>
      <c r="O22" s="48"/>
      <c r="P22" s="48"/>
      <c r="Q22" s="48"/>
      <c r="R22" s="48"/>
      <c r="S22" s="53"/>
      <c r="T22" s="53"/>
      <c r="U22" s="53"/>
      <c r="V22" s="53"/>
      <c r="W22" s="53"/>
      <c r="X22" s="134" t="str">
        <f t="shared" si="0"/>
        <v/>
      </c>
      <c r="Y22" s="180">
        <v>7.01</v>
      </c>
      <c r="Z22" s="135" t="str">
        <f t="shared" si="1"/>
        <v/>
      </c>
    </row>
    <row r="23" spans="1:33">
      <c r="A23" s="87"/>
      <c r="B23" s="87" t="s">
        <v>552</v>
      </c>
      <c r="C23" s="87">
        <v>2011</v>
      </c>
      <c r="D23" s="87"/>
      <c r="E23" s="46" t="s">
        <v>56</v>
      </c>
      <c r="F23" s="87"/>
      <c r="G23" s="87"/>
      <c r="H23" s="87" t="s">
        <v>553</v>
      </c>
      <c r="I23" s="87"/>
      <c r="J23" s="87" t="s">
        <v>703</v>
      </c>
      <c r="K23" s="87" t="s">
        <v>610</v>
      </c>
      <c r="L23" s="37" t="s">
        <v>578</v>
      </c>
      <c r="M23" s="87"/>
      <c r="N23" s="87"/>
      <c r="O23" s="87" t="s">
        <v>560</v>
      </c>
      <c r="P23" s="87"/>
      <c r="Q23" s="87"/>
      <c r="R23" s="87"/>
      <c r="S23" s="103"/>
      <c r="T23" s="103"/>
      <c r="U23" s="103">
        <v>0.95699999999999996</v>
      </c>
      <c r="V23" s="103"/>
      <c r="W23" s="103"/>
      <c r="X23" s="134">
        <f t="shared" si="0"/>
        <v>0.95699999999999996</v>
      </c>
      <c r="Y23" s="103">
        <v>0.41</v>
      </c>
      <c r="Z23" s="135" t="str">
        <f t="shared" si="1"/>
        <v>F</v>
      </c>
    </row>
    <row r="24" spans="1:33">
      <c r="A24" s="47">
        <v>174</v>
      </c>
      <c r="B24" s="48" t="s">
        <v>407</v>
      </c>
      <c r="C24" s="48">
        <v>2009</v>
      </c>
      <c r="D24" s="74" t="s">
        <v>408</v>
      </c>
      <c r="E24" s="46" t="s">
        <v>16</v>
      </c>
      <c r="F24" s="50" t="s">
        <v>410</v>
      </c>
      <c r="G24" s="48" t="s">
        <v>417</v>
      </c>
      <c r="H24" s="48" t="s">
        <v>417</v>
      </c>
      <c r="I24" s="48"/>
      <c r="J24" s="87" t="s">
        <v>703</v>
      </c>
      <c r="K24" s="48" t="s">
        <v>610</v>
      </c>
      <c r="L24" s="48" t="s">
        <v>418</v>
      </c>
      <c r="M24" s="56"/>
      <c r="N24" s="56"/>
      <c r="O24" s="48" t="s">
        <v>418</v>
      </c>
      <c r="P24" s="52"/>
      <c r="Q24" s="52"/>
      <c r="R24" s="48"/>
      <c r="S24" s="53"/>
      <c r="T24" s="53"/>
      <c r="U24" s="54">
        <v>0.94399999999999995</v>
      </c>
      <c r="V24" s="53"/>
      <c r="W24" s="53"/>
      <c r="X24" s="134">
        <f t="shared" si="0"/>
        <v>0.94399999999999995</v>
      </c>
      <c r="Y24" s="185">
        <v>3.2</v>
      </c>
      <c r="Z24" s="135" t="str">
        <f t="shared" si="1"/>
        <v>F</v>
      </c>
    </row>
    <row r="25" spans="1:33">
      <c r="A25" s="87"/>
      <c r="B25" s="87" t="s">
        <v>552</v>
      </c>
      <c r="C25" s="87">
        <v>2011</v>
      </c>
      <c r="D25" s="87"/>
      <c r="E25" s="46" t="s">
        <v>56</v>
      </c>
      <c r="F25" s="87"/>
      <c r="G25" s="87"/>
      <c r="H25" s="87" t="s">
        <v>553</v>
      </c>
      <c r="I25" s="87"/>
      <c r="J25" s="87" t="s">
        <v>703</v>
      </c>
      <c r="K25" s="87" t="s">
        <v>610</v>
      </c>
      <c r="L25" s="37" t="s">
        <v>418</v>
      </c>
      <c r="M25" s="87"/>
      <c r="N25" s="87" t="s">
        <v>574</v>
      </c>
      <c r="O25" s="87" t="s">
        <v>556</v>
      </c>
      <c r="P25" s="87"/>
      <c r="Q25" s="87"/>
      <c r="R25" s="87"/>
      <c r="S25" s="103"/>
      <c r="T25" s="103"/>
      <c r="U25" s="103">
        <v>0.93500000000000005</v>
      </c>
      <c r="V25" s="103"/>
      <c r="W25" s="103"/>
      <c r="X25" s="134">
        <f t="shared" si="0"/>
        <v>0.93500000000000005</v>
      </c>
      <c r="Y25" s="103">
        <v>0.28000000000000003</v>
      </c>
      <c r="Z25" s="135" t="str">
        <f t="shared" si="1"/>
        <v>F</v>
      </c>
    </row>
    <row r="26" spans="1:33">
      <c r="A26" s="87"/>
      <c r="B26" s="87" t="s">
        <v>552</v>
      </c>
      <c r="C26" s="87">
        <v>2011</v>
      </c>
      <c r="D26" s="87"/>
      <c r="E26" s="46" t="s">
        <v>56</v>
      </c>
      <c r="F26" s="87"/>
      <c r="G26" s="87"/>
      <c r="H26" s="87" t="s">
        <v>553</v>
      </c>
      <c r="I26" s="87"/>
      <c r="J26" s="87" t="s">
        <v>703</v>
      </c>
      <c r="K26" s="87" t="s">
        <v>610</v>
      </c>
      <c r="L26" s="37" t="s">
        <v>418</v>
      </c>
      <c r="M26" s="87"/>
      <c r="N26" s="87" t="s">
        <v>577</v>
      </c>
      <c r="O26" s="87" t="s">
        <v>559</v>
      </c>
      <c r="P26" s="87"/>
      <c r="Q26" s="87"/>
      <c r="R26" s="87"/>
      <c r="S26" s="103"/>
      <c r="T26" s="103"/>
      <c r="U26" s="103">
        <v>0.93300000000000005</v>
      </c>
      <c r="V26" s="103"/>
      <c r="W26" s="103"/>
      <c r="X26" s="134">
        <f t="shared" si="0"/>
        <v>0.93300000000000005</v>
      </c>
      <c r="Y26" s="103">
        <v>0.23</v>
      </c>
      <c r="Z26" s="135" t="str">
        <f t="shared" si="1"/>
        <v>F</v>
      </c>
    </row>
    <row r="27" spans="1:33">
      <c r="A27" s="87"/>
      <c r="B27" s="87" t="s">
        <v>552</v>
      </c>
      <c r="C27" s="87">
        <v>2011</v>
      </c>
      <c r="D27" s="87"/>
      <c r="E27" s="46" t="s">
        <v>56</v>
      </c>
      <c r="F27" s="87"/>
      <c r="G27" s="87"/>
      <c r="H27" s="87" t="s">
        <v>553</v>
      </c>
      <c r="I27" s="87"/>
      <c r="J27" s="87" t="s">
        <v>703</v>
      </c>
      <c r="K27" s="87" t="s">
        <v>610</v>
      </c>
      <c r="L27" s="37" t="s">
        <v>418</v>
      </c>
      <c r="M27" s="87"/>
      <c r="N27" s="87"/>
      <c r="O27" s="87" t="s">
        <v>554</v>
      </c>
      <c r="P27" s="87"/>
      <c r="Q27" s="87"/>
      <c r="R27" s="87"/>
      <c r="S27" s="103"/>
      <c r="T27" s="103"/>
      <c r="U27" s="103">
        <v>0.93200000000000005</v>
      </c>
      <c r="V27" s="103"/>
      <c r="W27" s="103"/>
      <c r="X27" s="134">
        <f t="shared" si="0"/>
        <v>0.93200000000000005</v>
      </c>
      <c r="Y27" s="103">
        <v>0.37</v>
      </c>
      <c r="Z27" s="135" t="str">
        <f t="shared" si="1"/>
        <v>F</v>
      </c>
    </row>
    <row r="28" spans="1:33">
      <c r="A28" s="87"/>
      <c r="B28" s="87" t="s">
        <v>552</v>
      </c>
      <c r="C28" s="87">
        <v>2011</v>
      </c>
      <c r="D28" s="87"/>
      <c r="E28" s="46" t="s">
        <v>56</v>
      </c>
      <c r="F28" s="87"/>
      <c r="G28" s="87"/>
      <c r="H28" s="87" t="s">
        <v>553</v>
      </c>
      <c r="I28" s="87"/>
      <c r="J28" s="87" t="s">
        <v>703</v>
      </c>
      <c r="K28" s="87" t="s">
        <v>610</v>
      </c>
      <c r="L28" s="37" t="s">
        <v>418</v>
      </c>
      <c r="M28" s="87"/>
      <c r="N28" s="87" t="s">
        <v>573</v>
      </c>
      <c r="O28" s="87" t="s">
        <v>555</v>
      </c>
      <c r="P28" s="87"/>
      <c r="Q28" s="87"/>
      <c r="R28" s="87"/>
      <c r="S28" s="103"/>
      <c r="T28" s="103"/>
      <c r="U28" s="103">
        <v>0.91900000000000004</v>
      </c>
      <c r="V28" s="103"/>
      <c r="W28" s="103"/>
      <c r="X28" s="134">
        <f t="shared" si="0"/>
        <v>0.91900000000000004</v>
      </c>
      <c r="Y28" s="103">
        <v>0.28000000000000003</v>
      </c>
      <c r="Z28" s="135" t="str">
        <f t="shared" si="1"/>
        <v>F</v>
      </c>
    </row>
    <row r="29" spans="1:33">
      <c r="A29" s="47">
        <v>174</v>
      </c>
      <c r="B29" s="48" t="s">
        <v>407</v>
      </c>
      <c r="C29" s="48">
        <v>2009</v>
      </c>
      <c r="D29" s="74" t="s">
        <v>408</v>
      </c>
      <c r="E29" s="46" t="s">
        <v>16</v>
      </c>
      <c r="F29" s="50" t="s">
        <v>410</v>
      </c>
      <c r="G29" s="48"/>
      <c r="H29" s="48"/>
      <c r="I29" s="48"/>
      <c r="J29" s="87" t="s">
        <v>703</v>
      </c>
      <c r="K29" s="48" t="s">
        <v>645</v>
      </c>
      <c r="L29" s="48" t="s">
        <v>428</v>
      </c>
      <c r="M29" s="56"/>
      <c r="N29" s="56"/>
      <c r="O29" s="48" t="s">
        <v>429</v>
      </c>
      <c r="P29" s="52"/>
      <c r="Q29" s="52"/>
      <c r="R29" s="48"/>
      <c r="S29" s="53"/>
      <c r="T29" s="53"/>
      <c r="U29" s="54">
        <v>0.93</v>
      </c>
      <c r="V29" s="53"/>
      <c r="W29" s="53"/>
      <c r="X29" s="134">
        <f t="shared" si="0"/>
        <v>0.93</v>
      </c>
      <c r="Y29" s="185">
        <v>4.5</v>
      </c>
      <c r="Z29" s="135" t="str">
        <f t="shared" si="1"/>
        <v>F</v>
      </c>
    </row>
    <row r="30" spans="1:33">
      <c r="A30" s="47">
        <v>173</v>
      </c>
      <c r="B30" s="48" t="s">
        <v>302</v>
      </c>
      <c r="C30" s="48">
        <v>2011</v>
      </c>
      <c r="D30" s="74" t="s">
        <v>352</v>
      </c>
      <c r="E30" s="46" t="s">
        <v>354</v>
      </c>
      <c r="F30" s="50" t="s">
        <v>366</v>
      </c>
      <c r="G30" s="48" t="s">
        <v>258</v>
      </c>
      <c r="H30" s="48" t="s">
        <v>20</v>
      </c>
      <c r="I30" s="48"/>
      <c r="J30" s="87" t="s">
        <v>703</v>
      </c>
      <c r="K30" s="48" t="s">
        <v>621</v>
      </c>
      <c r="L30" s="48" t="s">
        <v>367</v>
      </c>
      <c r="M30" s="56"/>
      <c r="N30" s="56"/>
      <c r="O30" s="48" t="s">
        <v>368</v>
      </c>
      <c r="P30" s="52"/>
      <c r="Q30" s="52"/>
      <c r="R30" s="48"/>
      <c r="S30" s="53"/>
      <c r="T30" s="53"/>
      <c r="U30" s="54">
        <v>0.94499999999999995</v>
      </c>
      <c r="V30" s="53"/>
      <c r="W30" s="53"/>
      <c r="X30" s="134">
        <f t="shared" si="0"/>
        <v>0.94499999999999995</v>
      </c>
      <c r="Y30" s="180">
        <v>0.91</v>
      </c>
      <c r="Z30" s="135" t="str">
        <f t="shared" si="1"/>
        <v>F</v>
      </c>
    </row>
    <row r="31" spans="1:33">
      <c r="A31" s="47">
        <v>144</v>
      </c>
      <c r="B31" s="74" t="s">
        <v>36</v>
      </c>
      <c r="C31" s="52">
        <v>1980</v>
      </c>
      <c r="D31" s="74" t="s">
        <v>287</v>
      </c>
      <c r="E31" s="46" t="s">
        <v>16</v>
      </c>
      <c r="F31" s="48"/>
      <c r="G31" s="48"/>
      <c r="H31" s="48"/>
      <c r="I31" s="48"/>
      <c r="J31" s="87" t="s">
        <v>703</v>
      </c>
      <c r="K31" s="48" t="s">
        <v>695</v>
      </c>
      <c r="L31" s="70" t="s">
        <v>290</v>
      </c>
      <c r="M31" s="48"/>
      <c r="N31" s="48"/>
      <c r="O31" s="48"/>
      <c r="P31" s="48"/>
      <c r="Q31" s="48"/>
      <c r="R31" s="48"/>
      <c r="S31" s="53"/>
      <c r="T31" s="53"/>
      <c r="U31" s="53"/>
      <c r="V31" s="53"/>
      <c r="W31" s="53"/>
      <c r="X31" s="134" t="str">
        <f t="shared" si="0"/>
        <v/>
      </c>
      <c r="Y31" s="180">
        <v>1.54</v>
      </c>
      <c r="Z31" s="135" t="str">
        <f t="shared" si="1"/>
        <v/>
      </c>
    </row>
    <row r="32" spans="1:33">
      <c r="A32" s="47">
        <v>144</v>
      </c>
      <c r="B32" s="74" t="s">
        <v>36</v>
      </c>
      <c r="C32" s="52">
        <v>1980</v>
      </c>
      <c r="D32" s="74" t="s">
        <v>287</v>
      </c>
      <c r="E32" s="46" t="s">
        <v>16</v>
      </c>
      <c r="F32" s="48"/>
      <c r="G32" s="48"/>
      <c r="H32" s="48"/>
      <c r="I32" s="48"/>
      <c r="J32" s="87" t="s">
        <v>703</v>
      </c>
      <c r="K32" s="48" t="s">
        <v>697</v>
      </c>
      <c r="L32" s="70" t="s">
        <v>291</v>
      </c>
      <c r="M32" s="48"/>
      <c r="N32" s="48"/>
      <c r="O32" s="48"/>
      <c r="P32" s="48"/>
      <c r="Q32" s="48"/>
      <c r="R32" s="48"/>
      <c r="S32" s="53"/>
      <c r="T32" s="53"/>
      <c r="U32" s="53"/>
      <c r="V32" s="53"/>
      <c r="W32" s="53"/>
      <c r="X32" s="134" t="str">
        <f t="shared" si="0"/>
        <v/>
      </c>
      <c r="Y32" s="180">
        <v>2.44</v>
      </c>
      <c r="Z32" s="135" t="str">
        <f t="shared" si="1"/>
        <v/>
      </c>
    </row>
    <row r="33" spans="1:33">
      <c r="A33" s="47">
        <v>144</v>
      </c>
      <c r="B33" s="74" t="s">
        <v>36</v>
      </c>
      <c r="C33" s="52">
        <v>1980</v>
      </c>
      <c r="D33" s="74" t="s">
        <v>287</v>
      </c>
      <c r="E33" s="46" t="s">
        <v>16</v>
      </c>
      <c r="F33" s="48"/>
      <c r="G33" s="48"/>
      <c r="H33" s="48"/>
      <c r="I33" s="48"/>
      <c r="J33" s="87" t="s">
        <v>703</v>
      </c>
      <c r="K33" s="48" t="s">
        <v>698</v>
      </c>
      <c r="L33" s="70" t="s">
        <v>293</v>
      </c>
      <c r="M33" s="48"/>
      <c r="N33" s="48"/>
      <c r="O33" s="48"/>
      <c r="P33" s="48"/>
      <c r="Q33" s="48"/>
      <c r="R33" s="48"/>
      <c r="S33" s="53"/>
      <c r="T33" s="53"/>
      <c r="U33" s="53"/>
      <c r="V33" s="53"/>
      <c r="W33" s="53"/>
      <c r="X33" s="134" t="str">
        <f t="shared" si="0"/>
        <v/>
      </c>
      <c r="Y33" s="180">
        <v>5.58</v>
      </c>
      <c r="Z33" s="135" t="str">
        <f t="shared" si="1"/>
        <v/>
      </c>
    </row>
    <row r="34" spans="1:33">
      <c r="A34" s="47">
        <v>144</v>
      </c>
      <c r="B34" s="74" t="s">
        <v>36</v>
      </c>
      <c r="C34" s="52">
        <v>1980</v>
      </c>
      <c r="D34" s="74" t="s">
        <v>287</v>
      </c>
      <c r="E34" s="46" t="s">
        <v>16</v>
      </c>
      <c r="F34" s="48"/>
      <c r="G34" s="48"/>
      <c r="H34" s="48"/>
      <c r="I34" s="48"/>
      <c r="J34" s="87" t="s">
        <v>703</v>
      </c>
      <c r="K34" s="48" t="s">
        <v>696</v>
      </c>
      <c r="L34" s="70" t="s">
        <v>292</v>
      </c>
      <c r="M34" s="48"/>
      <c r="N34" s="48"/>
      <c r="O34" s="48"/>
      <c r="P34" s="48"/>
      <c r="Q34" s="48"/>
      <c r="R34" s="48"/>
      <c r="S34" s="53"/>
      <c r="T34" s="53"/>
      <c r="U34" s="53"/>
      <c r="V34" s="53"/>
      <c r="W34" s="53"/>
      <c r="X34" s="134" t="str">
        <f t="shared" ref="X34:X65" si="2">IF(R34&lt;&gt;0,IF(R34&gt;1,R34/100,R34),IF(U34&lt;&gt;0,IF(U34&gt;1,U34/100,U34),""))</f>
        <v/>
      </c>
      <c r="Y34" s="180">
        <v>2.19</v>
      </c>
      <c r="Z34" s="135" t="str">
        <f t="shared" ref="Z34:Z51" si="3">IF(X34&lt;&gt;"",IF(X34&lt;0.9,"S","F"),"")</f>
        <v/>
      </c>
    </row>
    <row r="35" spans="1:33">
      <c r="A35" s="47">
        <v>144</v>
      </c>
      <c r="B35" s="52" t="s">
        <v>36</v>
      </c>
      <c r="C35" s="52">
        <v>1980</v>
      </c>
      <c r="D35" s="52" t="s">
        <v>287</v>
      </c>
      <c r="E35" s="46" t="s">
        <v>16</v>
      </c>
      <c r="F35" s="48"/>
      <c r="G35" s="48"/>
      <c r="H35" s="48"/>
      <c r="I35" s="48"/>
      <c r="J35" s="87" t="s">
        <v>703</v>
      </c>
      <c r="K35" s="48" t="s">
        <v>694</v>
      </c>
      <c r="L35" s="70" t="s">
        <v>289</v>
      </c>
      <c r="M35" s="48"/>
      <c r="N35" s="48"/>
      <c r="O35" s="48"/>
      <c r="P35" s="48"/>
      <c r="Q35" s="48"/>
      <c r="R35" s="48"/>
      <c r="S35" s="53"/>
      <c r="T35" s="53"/>
      <c r="U35" s="53"/>
      <c r="V35" s="53"/>
      <c r="W35" s="53"/>
      <c r="X35" s="134" t="str">
        <f t="shared" si="2"/>
        <v/>
      </c>
      <c r="Y35" s="180">
        <v>0.4</v>
      </c>
      <c r="Z35" s="135" t="str">
        <f t="shared" si="3"/>
        <v/>
      </c>
    </row>
    <row r="36" spans="1:33">
      <c r="A36" s="47">
        <v>173</v>
      </c>
      <c r="B36" s="48" t="s">
        <v>302</v>
      </c>
      <c r="C36" s="48">
        <v>2011</v>
      </c>
      <c r="D36" s="74" t="s">
        <v>352</v>
      </c>
      <c r="E36" s="46" t="s">
        <v>354</v>
      </c>
      <c r="F36" s="50" t="s">
        <v>358</v>
      </c>
      <c r="G36" s="48" t="s">
        <v>359</v>
      </c>
      <c r="H36" s="48" t="s">
        <v>20</v>
      </c>
      <c r="I36" s="48"/>
      <c r="J36" s="87" t="s">
        <v>703</v>
      </c>
      <c r="K36" s="48" t="s">
        <v>615</v>
      </c>
      <c r="L36" s="48" t="s">
        <v>356</v>
      </c>
      <c r="M36" s="56"/>
      <c r="N36" s="56"/>
      <c r="O36" s="48" t="s">
        <v>362</v>
      </c>
      <c r="P36" s="52"/>
      <c r="Q36" s="52"/>
      <c r="R36" s="48"/>
      <c r="S36" s="53"/>
      <c r="T36" s="53"/>
      <c r="U36" s="54">
        <v>0.95699999999999996</v>
      </c>
      <c r="V36" s="53"/>
      <c r="W36" s="53"/>
      <c r="X36" s="134">
        <f t="shared" si="2"/>
        <v>0.95699999999999996</v>
      </c>
      <c r="Y36" s="180">
        <v>1.1200000000000001</v>
      </c>
      <c r="Z36" s="135" t="str">
        <f t="shared" si="3"/>
        <v>F</v>
      </c>
    </row>
    <row r="37" spans="1:33">
      <c r="A37" s="37"/>
      <c r="B37" s="48" t="s">
        <v>540</v>
      </c>
      <c r="C37" s="48">
        <v>2013</v>
      </c>
      <c r="D37" s="74" t="s">
        <v>541</v>
      </c>
      <c r="E37" s="46" t="s">
        <v>24</v>
      </c>
      <c r="F37" s="50"/>
      <c r="G37" s="48"/>
      <c r="H37" s="48" t="s">
        <v>20</v>
      </c>
      <c r="I37" s="48"/>
      <c r="J37" s="87" t="s">
        <v>703</v>
      </c>
      <c r="K37" s="70" t="s">
        <v>648</v>
      </c>
      <c r="L37" s="48" t="s">
        <v>543</v>
      </c>
      <c r="M37" s="37"/>
      <c r="N37" s="37"/>
      <c r="O37" s="37"/>
      <c r="P37" s="37"/>
      <c r="Q37" s="37"/>
      <c r="R37" s="37"/>
      <c r="S37" s="41">
        <v>0.99</v>
      </c>
      <c r="T37" s="41"/>
      <c r="U37" s="41">
        <f>+S37</f>
        <v>0.99</v>
      </c>
      <c r="V37" s="41">
        <v>0.4</v>
      </c>
      <c r="W37" s="41"/>
      <c r="X37" s="134">
        <f t="shared" si="2"/>
        <v>0.99</v>
      </c>
      <c r="Y37" s="186">
        <f>+V37</f>
        <v>0.4</v>
      </c>
      <c r="Z37" s="135" t="str">
        <f t="shared" si="3"/>
        <v>F</v>
      </c>
    </row>
    <row r="38" spans="1:33">
      <c r="A38" s="37"/>
      <c r="B38" s="48" t="s">
        <v>540</v>
      </c>
      <c r="C38" s="48">
        <v>2013</v>
      </c>
      <c r="D38" s="74" t="s">
        <v>541</v>
      </c>
      <c r="E38" s="46" t="s">
        <v>24</v>
      </c>
      <c r="F38" s="50"/>
      <c r="G38" s="48"/>
      <c r="H38" s="48" t="s">
        <v>20</v>
      </c>
      <c r="I38" s="48"/>
      <c r="J38" s="87" t="s">
        <v>703</v>
      </c>
      <c r="K38" s="70" t="s">
        <v>648</v>
      </c>
      <c r="L38" s="48" t="s">
        <v>543</v>
      </c>
      <c r="M38" s="37"/>
      <c r="N38" s="37"/>
      <c r="O38" s="37"/>
      <c r="P38" s="37"/>
      <c r="Q38" s="37"/>
      <c r="R38" s="37"/>
      <c r="S38" s="41">
        <v>0.97</v>
      </c>
      <c r="T38" s="41"/>
      <c r="U38" s="41">
        <f>+S38</f>
        <v>0.97</v>
      </c>
      <c r="V38" s="41">
        <v>0.91</v>
      </c>
      <c r="W38" s="41"/>
      <c r="X38" s="134">
        <f t="shared" si="2"/>
        <v>0.97</v>
      </c>
      <c r="Y38" s="186">
        <f>+V38</f>
        <v>0.91</v>
      </c>
      <c r="Z38" s="135" t="str">
        <f t="shared" si="3"/>
        <v>F</v>
      </c>
    </row>
    <row r="39" spans="1:33">
      <c r="A39" s="37"/>
      <c r="B39" s="48" t="s">
        <v>540</v>
      </c>
      <c r="C39" s="48">
        <v>2013</v>
      </c>
      <c r="D39" s="74" t="s">
        <v>541</v>
      </c>
      <c r="E39" s="46" t="s">
        <v>24</v>
      </c>
      <c r="F39" s="50"/>
      <c r="G39" s="48"/>
      <c r="H39" s="48" t="s">
        <v>20</v>
      </c>
      <c r="I39" s="48"/>
      <c r="J39" s="87" t="s">
        <v>703</v>
      </c>
      <c r="K39" s="70" t="s">
        <v>648</v>
      </c>
      <c r="L39" s="48" t="s">
        <v>543</v>
      </c>
      <c r="M39" s="37"/>
      <c r="N39" s="37"/>
      <c r="O39" s="37"/>
      <c r="P39" s="37"/>
      <c r="Q39" s="37"/>
      <c r="R39" s="37"/>
      <c r="S39" s="41"/>
      <c r="T39" s="41">
        <v>0.82</v>
      </c>
      <c r="U39" s="41">
        <f>+T39</f>
        <v>0.82</v>
      </c>
      <c r="V39" s="41"/>
      <c r="W39" s="41">
        <v>0.27</v>
      </c>
      <c r="X39" s="134">
        <f t="shared" si="2"/>
        <v>0.82</v>
      </c>
      <c r="Y39" s="186">
        <f>+W39</f>
        <v>0.27</v>
      </c>
      <c r="Z39" s="135" t="str">
        <f t="shared" si="3"/>
        <v>S</v>
      </c>
    </row>
    <row r="40" spans="1:33">
      <c r="A40" s="37"/>
      <c r="B40" s="48" t="s">
        <v>540</v>
      </c>
      <c r="C40" s="48">
        <v>2013</v>
      </c>
      <c r="D40" s="74" t="s">
        <v>541</v>
      </c>
      <c r="E40" s="46" t="s">
        <v>24</v>
      </c>
      <c r="F40" s="50"/>
      <c r="G40" s="48"/>
      <c r="H40" s="48" t="s">
        <v>20</v>
      </c>
      <c r="I40" s="48"/>
      <c r="J40" s="87" t="s">
        <v>703</v>
      </c>
      <c r="K40" s="70" t="s">
        <v>648</v>
      </c>
      <c r="L40" s="48" t="s">
        <v>543</v>
      </c>
      <c r="M40" s="37"/>
      <c r="N40" s="37"/>
      <c r="O40" s="37"/>
      <c r="P40" s="37"/>
      <c r="Q40" s="37"/>
      <c r="R40" s="37"/>
      <c r="S40" s="41"/>
      <c r="T40" s="41">
        <v>0.76</v>
      </c>
      <c r="U40" s="41">
        <f>+T40</f>
        <v>0.76</v>
      </c>
      <c r="V40" s="41"/>
      <c r="W40" s="41">
        <v>0.76</v>
      </c>
      <c r="X40" s="134">
        <f t="shared" si="2"/>
        <v>0.76</v>
      </c>
      <c r="Y40" s="186">
        <f>+W40</f>
        <v>0.76</v>
      </c>
      <c r="Z40" s="135" t="str">
        <f t="shared" si="3"/>
        <v>S</v>
      </c>
    </row>
    <row r="41" spans="1:33" s="95" customFormat="1">
      <c r="A41" s="197">
        <v>174</v>
      </c>
      <c r="B41" s="199" t="s">
        <v>407</v>
      </c>
      <c r="C41" s="199">
        <v>2009</v>
      </c>
      <c r="D41" s="206" t="s">
        <v>408</v>
      </c>
      <c r="E41" s="193" t="s">
        <v>16</v>
      </c>
      <c r="F41" s="213" t="s">
        <v>410</v>
      </c>
      <c r="G41" s="199" t="s">
        <v>415</v>
      </c>
      <c r="H41" s="199" t="s">
        <v>22</v>
      </c>
      <c r="I41" s="199"/>
      <c r="J41" s="194" t="s">
        <v>593</v>
      </c>
      <c r="K41" s="199" t="s">
        <v>770</v>
      </c>
      <c r="L41" s="199" t="s">
        <v>465</v>
      </c>
      <c r="M41" s="217"/>
      <c r="N41" s="217"/>
      <c r="O41" s="199" t="s">
        <v>465</v>
      </c>
      <c r="P41" s="202"/>
      <c r="Q41" s="202"/>
      <c r="R41" s="199"/>
      <c r="S41" s="200"/>
      <c r="T41" s="200"/>
      <c r="U41" s="218">
        <v>0.84199999999999997</v>
      </c>
      <c r="V41" s="200"/>
      <c r="W41" s="200"/>
      <c r="X41" s="137">
        <f t="shared" si="2"/>
        <v>0.84199999999999997</v>
      </c>
      <c r="Y41" s="224">
        <v>7.6</v>
      </c>
      <c r="Z41" s="138" t="str">
        <f t="shared" si="3"/>
        <v>S</v>
      </c>
      <c r="AA41" s="232" t="str">
        <f>+J41</f>
        <v>SE shrub</v>
      </c>
      <c r="AB41" s="157" t="s">
        <v>814</v>
      </c>
      <c r="AC41" s="157" t="s">
        <v>815</v>
      </c>
      <c r="AD41" s="157" t="s">
        <v>816</v>
      </c>
      <c r="AE41" s="157" t="s">
        <v>817</v>
      </c>
      <c r="AF41" s="157" t="s">
        <v>818</v>
      </c>
      <c r="AG41" s="157" t="s">
        <v>819</v>
      </c>
    </row>
    <row r="42" spans="1:33" s="95" customFormat="1">
      <c r="A42" s="197">
        <v>174</v>
      </c>
      <c r="B42" s="199" t="s">
        <v>407</v>
      </c>
      <c r="C42" s="199">
        <v>2009</v>
      </c>
      <c r="D42" s="206" t="s">
        <v>408</v>
      </c>
      <c r="E42" s="193" t="s">
        <v>16</v>
      </c>
      <c r="F42" s="213" t="s">
        <v>410</v>
      </c>
      <c r="G42" s="199" t="s">
        <v>417</v>
      </c>
      <c r="H42" s="199" t="s">
        <v>417</v>
      </c>
      <c r="I42" s="199"/>
      <c r="J42" s="194" t="s">
        <v>593</v>
      </c>
      <c r="K42" s="199" t="s">
        <v>633</v>
      </c>
      <c r="L42" s="199" t="s">
        <v>430</v>
      </c>
      <c r="M42" s="217"/>
      <c r="N42" s="217"/>
      <c r="O42" s="199" t="s">
        <v>430</v>
      </c>
      <c r="P42" s="202"/>
      <c r="Q42" s="202"/>
      <c r="R42" s="199"/>
      <c r="S42" s="200"/>
      <c r="T42" s="200"/>
      <c r="U42" s="218">
        <v>0.94699999999999995</v>
      </c>
      <c r="V42" s="200"/>
      <c r="W42" s="200"/>
      <c r="X42" s="137">
        <f t="shared" si="2"/>
        <v>0.94699999999999995</v>
      </c>
      <c r="Y42" s="224">
        <v>7.3</v>
      </c>
      <c r="Z42" s="138" t="str">
        <f t="shared" si="3"/>
        <v>F</v>
      </c>
      <c r="AA42" s="228" t="s">
        <v>813</v>
      </c>
      <c r="AB42" s="229">
        <f>AVERAGE($Y$41:$Y$49)</f>
        <v>6.5331111111111113</v>
      </c>
      <c r="AC42" s="229">
        <f>MEDIAN($Y$41:$Y$49)</f>
        <v>7.3</v>
      </c>
      <c r="AD42" s="229">
        <f>MAX($Y$41:$Y$49)</f>
        <v>11.29</v>
      </c>
      <c r="AE42" s="229">
        <f>MIN($Y$41:$Y$49)</f>
        <v>1.1479999999999999</v>
      </c>
      <c r="AF42" s="229">
        <f>STDEV($Y$41:$Y$49)</f>
        <v>3.3507300862813625</v>
      </c>
      <c r="AG42" s="230">
        <f>COUNT($Y$41:$Y$49)</f>
        <v>9</v>
      </c>
    </row>
    <row r="43" spans="1:33" s="95" customFormat="1">
      <c r="A43" s="197">
        <v>144</v>
      </c>
      <c r="B43" s="206" t="s">
        <v>36</v>
      </c>
      <c r="C43" s="202">
        <v>1980</v>
      </c>
      <c r="D43" s="206" t="s">
        <v>287</v>
      </c>
      <c r="E43" s="193" t="s">
        <v>16</v>
      </c>
      <c r="F43" s="199"/>
      <c r="G43" s="199"/>
      <c r="H43" s="199"/>
      <c r="I43" s="199"/>
      <c r="J43" s="194" t="s">
        <v>593</v>
      </c>
      <c r="K43" s="199" t="s">
        <v>711</v>
      </c>
      <c r="L43" s="220" t="s">
        <v>298</v>
      </c>
      <c r="M43" s="199"/>
      <c r="N43" s="199"/>
      <c r="O43" s="199"/>
      <c r="P43" s="199"/>
      <c r="Q43" s="199"/>
      <c r="R43" s="199"/>
      <c r="S43" s="200"/>
      <c r="T43" s="200"/>
      <c r="U43" s="200"/>
      <c r="V43" s="200"/>
      <c r="W43" s="200"/>
      <c r="X43" s="137" t="str">
        <f t="shared" si="2"/>
        <v/>
      </c>
      <c r="Y43" s="201">
        <v>11.29</v>
      </c>
      <c r="Z43" s="138" t="str">
        <f t="shared" si="3"/>
        <v/>
      </c>
    </row>
    <row r="44" spans="1:33" s="95" customFormat="1">
      <c r="A44" s="197">
        <v>174</v>
      </c>
      <c r="B44" s="199" t="s">
        <v>407</v>
      </c>
      <c r="C44" s="199">
        <v>2009</v>
      </c>
      <c r="D44" s="206" t="s">
        <v>408</v>
      </c>
      <c r="E44" s="193" t="s">
        <v>16</v>
      </c>
      <c r="F44" s="213" t="s">
        <v>410</v>
      </c>
      <c r="G44" s="199" t="s">
        <v>411</v>
      </c>
      <c r="H44" s="199" t="s">
        <v>18</v>
      </c>
      <c r="I44" s="199"/>
      <c r="J44" s="194" t="s">
        <v>593</v>
      </c>
      <c r="K44" s="199" t="s">
        <v>733</v>
      </c>
      <c r="L44" s="199" t="s">
        <v>412</v>
      </c>
      <c r="M44" s="217"/>
      <c r="N44" s="217"/>
      <c r="O44" s="199" t="s">
        <v>412</v>
      </c>
      <c r="P44" s="202"/>
      <c r="Q44" s="202"/>
      <c r="R44" s="199"/>
      <c r="S44" s="200"/>
      <c r="T44" s="200"/>
      <c r="U44" s="218">
        <v>0.85699999999999998</v>
      </c>
      <c r="V44" s="200"/>
      <c r="W44" s="200"/>
      <c r="X44" s="137">
        <f t="shared" si="2"/>
        <v>0.85699999999999998</v>
      </c>
      <c r="Y44" s="224">
        <v>6.5</v>
      </c>
      <c r="Z44" s="138" t="str">
        <f t="shared" si="3"/>
        <v>S</v>
      </c>
    </row>
    <row r="45" spans="1:33" s="95" customFormat="1">
      <c r="A45" s="197">
        <v>174</v>
      </c>
      <c r="B45" s="199" t="s">
        <v>407</v>
      </c>
      <c r="C45" s="199">
        <v>2009</v>
      </c>
      <c r="D45" s="206" t="s">
        <v>408</v>
      </c>
      <c r="E45" s="193" t="s">
        <v>16</v>
      </c>
      <c r="F45" s="213" t="s">
        <v>410</v>
      </c>
      <c r="G45" s="199" t="s">
        <v>22</v>
      </c>
      <c r="H45" s="199" t="s">
        <v>22</v>
      </c>
      <c r="I45" s="199"/>
      <c r="J45" s="194" t="s">
        <v>593</v>
      </c>
      <c r="K45" s="199" t="s">
        <v>635</v>
      </c>
      <c r="L45" s="199" t="s">
        <v>445</v>
      </c>
      <c r="M45" s="217"/>
      <c r="N45" s="217"/>
      <c r="O45" s="199" t="s">
        <v>445</v>
      </c>
      <c r="P45" s="202"/>
      <c r="Q45" s="202"/>
      <c r="R45" s="199"/>
      <c r="S45" s="200"/>
      <c r="T45" s="200"/>
      <c r="U45" s="218">
        <v>0.93300000000000005</v>
      </c>
      <c r="V45" s="200"/>
      <c r="W45" s="200"/>
      <c r="X45" s="137">
        <f t="shared" si="2"/>
        <v>0.93300000000000005</v>
      </c>
      <c r="Y45" s="224">
        <v>2.9</v>
      </c>
      <c r="Z45" s="138" t="str">
        <f t="shared" si="3"/>
        <v>F</v>
      </c>
    </row>
    <row r="46" spans="1:33" s="95" customFormat="1">
      <c r="A46" s="197">
        <v>172</v>
      </c>
      <c r="B46" s="199" t="s">
        <v>302</v>
      </c>
      <c r="C46" s="199">
        <v>2010</v>
      </c>
      <c r="D46" s="199" t="s">
        <v>303</v>
      </c>
      <c r="E46" s="193" t="s">
        <v>305</v>
      </c>
      <c r="F46" s="213">
        <v>40230</v>
      </c>
      <c r="G46" s="199" t="s">
        <v>258</v>
      </c>
      <c r="H46" s="199" t="s">
        <v>20</v>
      </c>
      <c r="I46" s="199"/>
      <c r="J46" s="194" t="s">
        <v>593</v>
      </c>
      <c r="K46" s="199" t="s">
        <v>609</v>
      </c>
      <c r="L46" s="199" t="s">
        <v>336</v>
      </c>
      <c r="M46" s="217" t="s">
        <v>337</v>
      </c>
      <c r="N46" s="217" t="s">
        <v>338</v>
      </c>
      <c r="O46" s="199"/>
      <c r="P46" s="202"/>
      <c r="Q46" s="202"/>
      <c r="R46" s="199"/>
      <c r="S46" s="200"/>
      <c r="T46" s="200"/>
      <c r="U46" s="215">
        <v>0.95299999999999996</v>
      </c>
      <c r="V46" s="218"/>
      <c r="W46" s="218"/>
      <c r="X46" s="137">
        <f t="shared" si="2"/>
        <v>0.95299999999999996</v>
      </c>
      <c r="Y46" s="216">
        <v>1.1479999999999999</v>
      </c>
      <c r="Z46" s="138" t="str">
        <f t="shared" si="3"/>
        <v>F</v>
      </c>
    </row>
    <row r="47" spans="1:33" s="95" customFormat="1">
      <c r="A47" s="197">
        <v>144</v>
      </c>
      <c r="B47" s="206" t="s">
        <v>36</v>
      </c>
      <c r="C47" s="202">
        <v>1980</v>
      </c>
      <c r="D47" s="206" t="s">
        <v>287</v>
      </c>
      <c r="E47" s="193" t="s">
        <v>16</v>
      </c>
      <c r="F47" s="199"/>
      <c r="G47" s="199"/>
      <c r="H47" s="199"/>
      <c r="I47" s="199"/>
      <c r="J47" s="194" t="s">
        <v>593</v>
      </c>
      <c r="K47" s="199" t="s">
        <v>631</v>
      </c>
      <c r="L47" s="220" t="s">
        <v>296</v>
      </c>
      <c r="M47" s="199"/>
      <c r="N47" s="199"/>
      <c r="O47" s="199"/>
      <c r="P47" s="199"/>
      <c r="Q47" s="199"/>
      <c r="R47" s="199"/>
      <c r="S47" s="200"/>
      <c r="T47" s="200"/>
      <c r="U47" s="200"/>
      <c r="V47" s="200"/>
      <c r="W47" s="200"/>
      <c r="X47" s="137" t="str">
        <f t="shared" si="2"/>
        <v/>
      </c>
      <c r="Y47" s="201">
        <v>9.4700000000000006</v>
      </c>
      <c r="Z47" s="138" t="str">
        <f t="shared" si="3"/>
        <v/>
      </c>
    </row>
    <row r="48" spans="1:33" s="95" customFormat="1">
      <c r="A48" s="197">
        <v>144</v>
      </c>
      <c r="B48" s="206" t="s">
        <v>36</v>
      </c>
      <c r="C48" s="202">
        <v>1980</v>
      </c>
      <c r="D48" s="206" t="s">
        <v>287</v>
      </c>
      <c r="E48" s="193" t="s">
        <v>16</v>
      </c>
      <c r="F48" s="199"/>
      <c r="G48" s="199"/>
      <c r="H48" s="199"/>
      <c r="I48" s="199"/>
      <c r="J48" s="194" t="s">
        <v>593</v>
      </c>
      <c r="K48" s="199" t="s">
        <v>700</v>
      </c>
      <c r="L48" s="220" t="s">
        <v>294</v>
      </c>
      <c r="M48" s="199"/>
      <c r="N48" s="199"/>
      <c r="O48" s="199"/>
      <c r="P48" s="199"/>
      <c r="Q48" s="199"/>
      <c r="R48" s="199"/>
      <c r="S48" s="200"/>
      <c r="T48" s="200"/>
      <c r="U48" s="200"/>
      <c r="V48" s="200"/>
      <c r="W48" s="200"/>
      <c r="X48" s="137" t="str">
        <f t="shared" si="2"/>
        <v/>
      </c>
      <c r="Y48" s="201">
        <v>8.99</v>
      </c>
      <c r="Z48" s="138" t="str">
        <f t="shared" si="3"/>
        <v/>
      </c>
    </row>
    <row r="49" spans="1:33" s="95" customFormat="1">
      <c r="A49" s="197">
        <v>174</v>
      </c>
      <c r="B49" s="199" t="s">
        <v>407</v>
      </c>
      <c r="C49" s="199">
        <v>2009</v>
      </c>
      <c r="D49" s="206" t="s">
        <v>408</v>
      </c>
      <c r="E49" s="193" t="s">
        <v>16</v>
      </c>
      <c r="F49" s="213" t="s">
        <v>410</v>
      </c>
      <c r="G49" s="199" t="s">
        <v>22</v>
      </c>
      <c r="H49" s="199" t="s">
        <v>22</v>
      </c>
      <c r="I49" s="199"/>
      <c r="J49" s="194" t="s">
        <v>593</v>
      </c>
      <c r="K49" s="199" t="s">
        <v>636</v>
      </c>
      <c r="L49" s="199" t="s">
        <v>441</v>
      </c>
      <c r="M49" s="217"/>
      <c r="N49" s="217"/>
      <c r="O49" s="199" t="s">
        <v>441</v>
      </c>
      <c r="P49" s="202"/>
      <c r="Q49" s="202"/>
      <c r="R49" s="199"/>
      <c r="S49" s="200"/>
      <c r="T49" s="200"/>
      <c r="U49" s="218">
        <v>0.91500000000000004</v>
      </c>
      <c r="V49" s="200"/>
      <c r="W49" s="200"/>
      <c r="X49" s="137">
        <f t="shared" si="2"/>
        <v>0.91500000000000004</v>
      </c>
      <c r="Y49" s="224">
        <v>3.6</v>
      </c>
      <c r="Z49" s="138" t="str">
        <f t="shared" si="3"/>
        <v>F</v>
      </c>
    </row>
    <row r="50" spans="1:33">
      <c r="A50" s="47">
        <v>174</v>
      </c>
      <c r="B50" s="48" t="s">
        <v>407</v>
      </c>
      <c r="C50" s="48">
        <v>2009</v>
      </c>
      <c r="D50" s="74" t="s">
        <v>408</v>
      </c>
      <c r="E50" s="46" t="s">
        <v>16</v>
      </c>
      <c r="F50" s="50" t="s">
        <v>410</v>
      </c>
      <c r="G50" s="48" t="s">
        <v>414</v>
      </c>
      <c r="H50" s="48" t="s">
        <v>49</v>
      </c>
      <c r="I50" s="48"/>
      <c r="J50" s="87" t="s">
        <v>706</v>
      </c>
      <c r="K50" s="48" t="s">
        <v>663</v>
      </c>
      <c r="L50" s="48" t="s">
        <v>254</v>
      </c>
      <c r="M50" s="56"/>
      <c r="N50" s="56"/>
      <c r="O50" s="48" t="s">
        <v>254</v>
      </c>
      <c r="P50" s="52"/>
      <c r="Q50" s="52"/>
      <c r="R50" s="48"/>
      <c r="S50" s="53"/>
      <c r="T50" s="53"/>
      <c r="U50" s="54">
        <v>0.90600000000000003</v>
      </c>
      <c r="V50" s="53"/>
      <c r="W50" s="53"/>
      <c r="X50" s="134">
        <f t="shared" si="2"/>
        <v>0.90600000000000003</v>
      </c>
      <c r="Y50" s="185">
        <v>3.8</v>
      </c>
      <c r="Z50" s="135" t="str">
        <f t="shared" si="3"/>
        <v>F</v>
      </c>
      <c r="AA50" s="179" t="str">
        <f>+J50</f>
        <v>W conifer</v>
      </c>
      <c r="AB50" s="175" t="s">
        <v>814</v>
      </c>
      <c r="AC50" s="175" t="s">
        <v>815</v>
      </c>
      <c r="AD50" s="175" t="s">
        <v>816</v>
      </c>
      <c r="AE50" s="175" t="s">
        <v>817</v>
      </c>
      <c r="AF50" s="175" t="s">
        <v>818</v>
      </c>
      <c r="AG50" s="175" t="s">
        <v>819</v>
      </c>
    </row>
    <row r="51" spans="1:33">
      <c r="A51" s="47">
        <v>118</v>
      </c>
      <c r="B51" s="105" t="s">
        <v>199</v>
      </c>
      <c r="C51" s="48">
        <v>1999</v>
      </c>
      <c r="D51" s="105" t="s">
        <v>200</v>
      </c>
      <c r="E51" s="46" t="s">
        <v>16</v>
      </c>
      <c r="F51" s="48">
        <v>1999</v>
      </c>
      <c r="G51" s="48" t="s">
        <v>125</v>
      </c>
      <c r="H51" s="48" t="s">
        <v>49</v>
      </c>
      <c r="I51" s="48"/>
      <c r="J51" s="87" t="s">
        <v>706</v>
      </c>
      <c r="K51" s="48" t="s">
        <v>657</v>
      </c>
      <c r="L51" s="48" t="s">
        <v>203</v>
      </c>
      <c r="M51" s="48"/>
      <c r="N51" s="48"/>
      <c r="O51" s="48">
        <v>3</v>
      </c>
      <c r="P51" s="48"/>
      <c r="Q51" s="48"/>
      <c r="R51" s="48"/>
      <c r="S51" s="53"/>
      <c r="T51" s="53"/>
      <c r="U51" s="53">
        <v>0.95</v>
      </c>
      <c r="V51" s="53"/>
      <c r="W51" s="53"/>
      <c r="X51" s="134">
        <f t="shared" si="2"/>
        <v>0.95</v>
      </c>
      <c r="Y51" s="180">
        <v>1.65</v>
      </c>
      <c r="Z51" s="135" t="str">
        <f t="shared" si="3"/>
        <v>F</v>
      </c>
      <c r="AA51" s="175" t="s">
        <v>813</v>
      </c>
      <c r="AB51" s="176">
        <f>AVERAGE($Y$50:$Y$73)</f>
        <v>1.6293750000000002</v>
      </c>
      <c r="AC51" s="176">
        <f>MEDIAN($Y$50:$Y$73)</f>
        <v>1.5350000000000001</v>
      </c>
      <c r="AD51" s="176">
        <f>MAX($Y$50:$Y$73)</f>
        <v>4.9000000000000004</v>
      </c>
      <c r="AE51" s="176">
        <f>MIN($Y$50:$Y$73)</f>
        <v>0.28000000000000003</v>
      </c>
      <c r="AF51" s="176">
        <f>STDEV($Y$50:$Y$73)</f>
        <v>1.2287633519111802</v>
      </c>
      <c r="AG51" s="231">
        <f>COUNT($Y$50:$Y$73)</f>
        <v>24</v>
      </c>
    </row>
    <row r="52" spans="1:33">
      <c r="A52" s="37"/>
      <c r="B52" s="37" t="s">
        <v>563</v>
      </c>
      <c r="C52" s="106">
        <v>1996</v>
      </c>
      <c r="D52" s="107"/>
      <c r="E52" s="46" t="s">
        <v>56</v>
      </c>
      <c r="F52" s="37"/>
      <c r="G52" s="37"/>
      <c r="H52" s="37" t="s">
        <v>564</v>
      </c>
      <c r="I52" s="37"/>
      <c r="J52" s="87" t="s">
        <v>706</v>
      </c>
      <c r="K52" s="37" t="s">
        <v>701</v>
      </c>
      <c r="L52" s="37" t="s">
        <v>571</v>
      </c>
      <c r="M52" s="37"/>
      <c r="N52" s="37"/>
      <c r="O52" s="37" t="s">
        <v>568</v>
      </c>
      <c r="P52" s="37"/>
      <c r="Q52" s="37"/>
      <c r="R52" s="37"/>
      <c r="S52" s="41"/>
      <c r="T52" s="41"/>
      <c r="U52" s="41"/>
      <c r="V52" s="41">
        <f>0.65/2</f>
        <v>0.32500000000000001</v>
      </c>
      <c r="W52" s="41"/>
      <c r="X52" s="134" t="str">
        <f t="shared" si="2"/>
        <v/>
      </c>
      <c r="Y52" s="103">
        <f>+V52</f>
        <v>0.32500000000000001</v>
      </c>
      <c r="Z52" s="135" t="s">
        <v>824</v>
      </c>
    </row>
    <row r="53" spans="1:33">
      <c r="A53" s="37"/>
      <c r="B53" s="37" t="s">
        <v>563</v>
      </c>
      <c r="C53" s="106">
        <v>1996</v>
      </c>
      <c r="D53" s="107"/>
      <c r="E53" s="46" t="s">
        <v>56</v>
      </c>
      <c r="F53" s="37"/>
      <c r="G53" s="37"/>
      <c r="H53" s="37" t="s">
        <v>29</v>
      </c>
      <c r="I53" s="37"/>
      <c r="J53" s="87" t="s">
        <v>706</v>
      </c>
      <c r="K53" s="37" t="s">
        <v>701</v>
      </c>
      <c r="L53" s="37" t="s">
        <v>571</v>
      </c>
      <c r="M53" s="37"/>
      <c r="N53" s="37"/>
      <c r="O53" s="37" t="s">
        <v>567</v>
      </c>
      <c r="P53" s="37"/>
      <c r="Q53" s="37"/>
      <c r="R53" s="37"/>
      <c r="S53" s="41"/>
      <c r="T53" s="41"/>
      <c r="U53" s="41">
        <v>0.9</v>
      </c>
      <c r="V53" s="41">
        <f>1.82/2</f>
        <v>0.91</v>
      </c>
      <c r="W53" s="41"/>
      <c r="X53" s="134">
        <f t="shared" si="2"/>
        <v>0.9</v>
      </c>
      <c r="Y53" s="103">
        <f>+V53</f>
        <v>0.91</v>
      </c>
      <c r="Z53" s="135" t="str">
        <f t="shared" ref="Z53:Z66" si="4">IF(X53&lt;&gt;"",IF(X53&lt;0.9,"S","F"),"")</f>
        <v>F</v>
      </c>
    </row>
    <row r="54" spans="1:33">
      <c r="A54" s="47">
        <v>172</v>
      </c>
      <c r="B54" s="48" t="s">
        <v>302</v>
      </c>
      <c r="C54" s="48">
        <v>2010</v>
      </c>
      <c r="D54" s="48" t="s">
        <v>303</v>
      </c>
      <c r="E54" s="46" t="s">
        <v>305</v>
      </c>
      <c r="F54" s="50">
        <v>40234</v>
      </c>
      <c r="G54" s="48" t="s">
        <v>347</v>
      </c>
      <c r="H54" s="48" t="s">
        <v>49</v>
      </c>
      <c r="I54" s="48"/>
      <c r="J54" s="87" t="s">
        <v>706</v>
      </c>
      <c r="K54" s="48" t="s">
        <v>682</v>
      </c>
      <c r="L54" s="48" t="s">
        <v>348</v>
      </c>
      <c r="M54" s="51" t="s">
        <v>349</v>
      </c>
      <c r="N54" s="51"/>
      <c r="O54" s="48"/>
      <c r="P54" s="52"/>
      <c r="Q54" s="52"/>
      <c r="R54" s="48"/>
      <c r="S54" s="53"/>
      <c r="T54" s="53"/>
      <c r="U54" s="54">
        <v>0.93400000000000005</v>
      </c>
      <c r="V54" s="55"/>
      <c r="W54" s="55"/>
      <c r="X54" s="134">
        <f t="shared" si="2"/>
        <v>0.93400000000000005</v>
      </c>
      <c r="Y54" s="184">
        <v>1.7350000000000001</v>
      </c>
      <c r="Z54" s="135" t="str">
        <f t="shared" si="4"/>
        <v>F</v>
      </c>
    </row>
    <row r="55" spans="1:33">
      <c r="A55" s="47">
        <v>174</v>
      </c>
      <c r="B55" s="48" t="s">
        <v>407</v>
      </c>
      <c r="C55" s="48">
        <v>2009</v>
      </c>
      <c r="D55" s="74" t="s">
        <v>408</v>
      </c>
      <c r="E55" s="46" t="s">
        <v>16</v>
      </c>
      <c r="F55" s="50" t="s">
        <v>410</v>
      </c>
      <c r="G55" s="48" t="s">
        <v>414</v>
      </c>
      <c r="H55" s="48" t="s">
        <v>49</v>
      </c>
      <c r="I55" s="48"/>
      <c r="J55" s="87" t="s">
        <v>706</v>
      </c>
      <c r="K55" s="48" t="s">
        <v>661</v>
      </c>
      <c r="L55" s="48" t="s">
        <v>434</v>
      </c>
      <c r="M55" s="56"/>
      <c r="N55" s="56"/>
      <c r="O55" s="48" t="s">
        <v>434</v>
      </c>
      <c r="P55" s="52"/>
      <c r="Q55" s="52"/>
      <c r="R55" s="48"/>
      <c r="S55" s="53"/>
      <c r="T55" s="53"/>
      <c r="U55" s="54">
        <v>0.92</v>
      </c>
      <c r="V55" s="53"/>
      <c r="W55" s="53"/>
      <c r="X55" s="134">
        <f t="shared" si="2"/>
        <v>0.92</v>
      </c>
      <c r="Y55" s="185">
        <v>0.4</v>
      </c>
      <c r="Z55" s="135" t="str">
        <f t="shared" si="4"/>
        <v>F</v>
      </c>
    </row>
    <row r="56" spans="1:33">
      <c r="A56" s="47">
        <v>174</v>
      </c>
      <c r="B56" s="48" t="s">
        <v>407</v>
      </c>
      <c r="C56" s="48">
        <v>2009</v>
      </c>
      <c r="D56" s="74" t="s">
        <v>408</v>
      </c>
      <c r="E56" s="46" t="s">
        <v>16</v>
      </c>
      <c r="F56" s="50" t="s">
        <v>410</v>
      </c>
      <c r="G56" s="48" t="s">
        <v>414</v>
      </c>
      <c r="H56" s="48" t="s">
        <v>49</v>
      </c>
      <c r="I56" s="48"/>
      <c r="J56" s="87" t="s">
        <v>706</v>
      </c>
      <c r="K56" s="48" t="s">
        <v>661</v>
      </c>
      <c r="L56" s="48" t="s">
        <v>421</v>
      </c>
      <c r="M56" s="56"/>
      <c r="N56" s="56"/>
      <c r="O56" s="48" t="s">
        <v>422</v>
      </c>
      <c r="P56" s="52"/>
      <c r="Q56" s="52"/>
      <c r="R56" s="48"/>
      <c r="S56" s="53"/>
      <c r="T56" s="53"/>
      <c r="U56" s="54">
        <v>0.91500000000000004</v>
      </c>
      <c r="V56" s="53"/>
      <c r="W56" s="53"/>
      <c r="X56" s="134">
        <f t="shared" si="2"/>
        <v>0.91500000000000004</v>
      </c>
      <c r="Y56" s="185">
        <v>1.5</v>
      </c>
      <c r="Z56" s="135" t="str">
        <f t="shared" si="4"/>
        <v>F</v>
      </c>
    </row>
    <row r="57" spans="1:33">
      <c r="A57" s="47">
        <v>174</v>
      </c>
      <c r="B57" s="48" t="s">
        <v>407</v>
      </c>
      <c r="C57" s="48">
        <v>2009</v>
      </c>
      <c r="D57" s="74" t="s">
        <v>408</v>
      </c>
      <c r="E57" s="46" t="s">
        <v>16</v>
      </c>
      <c r="F57" s="50" t="s">
        <v>410</v>
      </c>
      <c r="G57" s="48" t="s">
        <v>414</v>
      </c>
      <c r="H57" s="48" t="s">
        <v>49</v>
      </c>
      <c r="I57" s="48"/>
      <c r="J57" s="87" t="s">
        <v>706</v>
      </c>
      <c r="K57" s="48" t="s">
        <v>660</v>
      </c>
      <c r="L57" s="48" t="s">
        <v>424</v>
      </c>
      <c r="M57" s="56"/>
      <c r="N57" s="56"/>
      <c r="O57" s="48" t="s">
        <v>424</v>
      </c>
      <c r="P57" s="52"/>
      <c r="Q57" s="52"/>
      <c r="R57" s="48"/>
      <c r="S57" s="53"/>
      <c r="T57" s="53"/>
      <c r="U57" s="54">
        <v>0.92</v>
      </c>
      <c r="V57" s="53"/>
      <c r="W57" s="53"/>
      <c r="X57" s="134">
        <f t="shared" si="2"/>
        <v>0.92</v>
      </c>
      <c r="Y57" s="185">
        <v>0.9</v>
      </c>
      <c r="Z57" s="135" t="str">
        <f t="shared" si="4"/>
        <v>F</v>
      </c>
    </row>
    <row r="58" spans="1:33">
      <c r="A58" s="47">
        <v>197</v>
      </c>
      <c r="B58" s="105" t="s">
        <v>466</v>
      </c>
      <c r="C58" s="48">
        <v>2007</v>
      </c>
      <c r="D58" s="105" t="s">
        <v>513</v>
      </c>
      <c r="E58" s="46" t="s">
        <v>16</v>
      </c>
      <c r="F58" s="48">
        <v>2003</v>
      </c>
      <c r="G58" s="48" t="s">
        <v>125</v>
      </c>
      <c r="H58" s="48" t="s">
        <v>49</v>
      </c>
      <c r="I58" s="48"/>
      <c r="J58" s="87" t="s">
        <v>706</v>
      </c>
      <c r="K58" s="48" t="s">
        <v>654</v>
      </c>
      <c r="L58" s="48" t="s">
        <v>201</v>
      </c>
      <c r="M58" s="48"/>
      <c r="N58" s="48"/>
      <c r="O58" s="48" t="s">
        <v>516</v>
      </c>
      <c r="P58" s="48">
        <v>0.97</v>
      </c>
      <c r="Q58" s="48"/>
      <c r="R58" s="48">
        <f>+P58</f>
        <v>0.97</v>
      </c>
      <c r="S58" s="53">
        <v>0.98</v>
      </c>
      <c r="T58" s="53"/>
      <c r="U58" s="53">
        <f>+S58</f>
        <v>0.98</v>
      </c>
      <c r="V58" s="53">
        <v>2.9</v>
      </c>
      <c r="W58" s="53"/>
      <c r="X58" s="134">
        <f t="shared" si="2"/>
        <v>0.97</v>
      </c>
      <c r="Y58" s="180">
        <f>+V58</f>
        <v>2.9</v>
      </c>
      <c r="Z58" s="135" t="str">
        <f t="shared" si="4"/>
        <v>F</v>
      </c>
    </row>
    <row r="59" spans="1:33">
      <c r="A59" s="47">
        <v>197</v>
      </c>
      <c r="B59" s="105" t="s">
        <v>466</v>
      </c>
      <c r="C59" s="48">
        <v>2007</v>
      </c>
      <c r="D59" s="105" t="s">
        <v>513</v>
      </c>
      <c r="E59" s="46" t="s">
        <v>16</v>
      </c>
      <c r="F59" s="48">
        <v>2003</v>
      </c>
      <c r="G59" s="48" t="s">
        <v>125</v>
      </c>
      <c r="H59" s="48" t="s">
        <v>49</v>
      </c>
      <c r="I59" s="48"/>
      <c r="J59" s="87" t="s">
        <v>706</v>
      </c>
      <c r="K59" s="48" t="s">
        <v>654</v>
      </c>
      <c r="L59" s="48" t="s">
        <v>201</v>
      </c>
      <c r="M59" s="48"/>
      <c r="N59" s="48"/>
      <c r="O59" s="48" t="s">
        <v>516</v>
      </c>
      <c r="R59" s="48">
        <v>0.96</v>
      </c>
      <c r="U59" s="53">
        <v>0.97</v>
      </c>
      <c r="X59" s="134">
        <f t="shared" si="2"/>
        <v>0.96</v>
      </c>
      <c r="Y59" s="180">
        <v>3.1</v>
      </c>
      <c r="Z59" s="135" t="str">
        <f t="shared" si="4"/>
        <v>F</v>
      </c>
    </row>
    <row r="60" spans="1:33">
      <c r="A60" s="47">
        <v>172</v>
      </c>
      <c r="B60" s="48" t="s">
        <v>302</v>
      </c>
      <c r="C60" s="48">
        <v>2010</v>
      </c>
      <c r="D60" s="48" t="s">
        <v>303</v>
      </c>
      <c r="E60" s="46" t="s">
        <v>305</v>
      </c>
      <c r="F60" s="50">
        <v>40235</v>
      </c>
      <c r="G60" s="48" t="s">
        <v>347</v>
      </c>
      <c r="H60" s="48" t="s">
        <v>49</v>
      </c>
      <c r="I60" s="48"/>
      <c r="J60" s="87" t="s">
        <v>706</v>
      </c>
      <c r="K60" s="48" t="s">
        <v>654</v>
      </c>
      <c r="L60" s="48" t="s">
        <v>350</v>
      </c>
      <c r="M60" s="56" t="s">
        <v>351</v>
      </c>
      <c r="N60" s="56"/>
      <c r="O60" s="48"/>
      <c r="P60" s="52"/>
      <c r="Q60" s="52"/>
      <c r="R60" s="48"/>
      <c r="S60" s="53"/>
      <c r="T60" s="53"/>
      <c r="U60" s="54">
        <v>0.95899999999999996</v>
      </c>
      <c r="V60" s="53"/>
      <c r="W60" s="53"/>
      <c r="X60" s="134">
        <f t="shared" si="2"/>
        <v>0.95899999999999996</v>
      </c>
      <c r="Y60" s="180">
        <v>2.0499999999999998</v>
      </c>
      <c r="Z60" s="135" t="str">
        <f t="shared" si="4"/>
        <v>F</v>
      </c>
    </row>
    <row r="61" spans="1:33">
      <c r="A61" s="47">
        <v>197</v>
      </c>
      <c r="B61" s="105" t="s">
        <v>466</v>
      </c>
      <c r="C61" s="48">
        <v>2007</v>
      </c>
      <c r="D61" s="105" t="s">
        <v>513</v>
      </c>
      <c r="E61" s="46" t="s">
        <v>16</v>
      </c>
      <c r="F61" s="48">
        <v>2003</v>
      </c>
      <c r="G61" s="48" t="s">
        <v>125</v>
      </c>
      <c r="H61" s="48" t="s">
        <v>49</v>
      </c>
      <c r="I61" s="48"/>
      <c r="J61" s="87" t="s">
        <v>706</v>
      </c>
      <c r="K61" s="48" t="s">
        <v>654</v>
      </c>
      <c r="L61" s="48" t="s">
        <v>201</v>
      </c>
      <c r="M61" s="48"/>
      <c r="N61" s="48"/>
      <c r="O61" s="48" t="s">
        <v>516</v>
      </c>
      <c r="P61" s="48"/>
      <c r="Q61" s="48">
        <v>0.87</v>
      </c>
      <c r="R61" s="48">
        <f>+Q61</f>
        <v>0.87</v>
      </c>
      <c r="S61" s="53"/>
      <c r="T61" s="53">
        <v>0.88</v>
      </c>
      <c r="U61" s="53">
        <f>+T61</f>
        <v>0.88</v>
      </c>
      <c r="V61" s="53"/>
      <c r="W61" s="53">
        <v>4.9000000000000004</v>
      </c>
      <c r="X61" s="134">
        <f t="shared" si="2"/>
        <v>0.87</v>
      </c>
      <c r="Y61" s="180">
        <f>+W61</f>
        <v>4.9000000000000004</v>
      </c>
      <c r="Z61" s="135" t="str">
        <f t="shared" si="4"/>
        <v>S</v>
      </c>
    </row>
    <row r="62" spans="1:33">
      <c r="A62" s="47">
        <v>118</v>
      </c>
      <c r="B62" s="105" t="s">
        <v>199</v>
      </c>
      <c r="C62" s="48">
        <v>1999</v>
      </c>
      <c r="D62" s="105" t="s">
        <v>200</v>
      </c>
      <c r="E62" s="46" t="s">
        <v>16</v>
      </c>
      <c r="F62" s="48">
        <v>1999</v>
      </c>
      <c r="G62" s="48" t="s">
        <v>125</v>
      </c>
      <c r="H62" s="48" t="s">
        <v>49</v>
      </c>
      <c r="I62" s="48"/>
      <c r="J62" s="87" t="s">
        <v>706</v>
      </c>
      <c r="K62" s="48" t="s">
        <v>656</v>
      </c>
      <c r="L62" s="48" t="s">
        <v>204</v>
      </c>
      <c r="M62" s="48"/>
      <c r="N62" s="48"/>
      <c r="O62" s="48">
        <v>4</v>
      </c>
      <c r="P62" s="48"/>
      <c r="Q62" s="48"/>
      <c r="R62" s="48"/>
      <c r="S62" s="53"/>
      <c r="T62" s="53"/>
      <c r="U62" s="53">
        <v>0.98</v>
      </c>
      <c r="V62" s="53"/>
      <c r="W62" s="53"/>
      <c r="X62" s="134">
        <f t="shared" si="2"/>
        <v>0.98</v>
      </c>
      <c r="Y62" s="180">
        <v>1.57</v>
      </c>
      <c r="Z62" s="135" t="str">
        <f t="shared" si="4"/>
        <v>F</v>
      </c>
    </row>
    <row r="63" spans="1:33">
      <c r="A63" s="47">
        <v>118</v>
      </c>
      <c r="B63" s="105" t="s">
        <v>199</v>
      </c>
      <c r="C63" s="48">
        <v>1999</v>
      </c>
      <c r="D63" s="105" t="s">
        <v>200</v>
      </c>
      <c r="E63" s="46" t="s">
        <v>16</v>
      </c>
      <c r="F63" s="48">
        <v>1999</v>
      </c>
      <c r="G63" s="48" t="s">
        <v>125</v>
      </c>
      <c r="H63" s="48" t="s">
        <v>49</v>
      </c>
      <c r="I63" s="48"/>
      <c r="J63" s="87" t="s">
        <v>706</v>
      </c>
      <c r="K63" s="48" t="s">
        <v>656</v>
      </c>
      <c r="L63" s="48" t="s">
        <v>201</v>
      </c>
      <c r="M63" s="48"/>
      <c r="N63" s="48"/>
      <c r="O63" s="48">
        <v>1</v>
      </c>
      <c r="P63" s="48"/>
      <c r="Q63" s="48"/>
      <c r="R63" s="48"/>
      <c r="S63" s="53"/>
      <c r="T63" s="53"/>
      <c r="U63" s="53">
        <v>0.97</v>
      </c>
      <c r="V63" s="53"/>
      <c r="W63" s="53"/>
      <c r="X63" s="134">
        <f t="shared" si="2"/>
        <v>0.97</v>
      </c>
      <c r="Y63" s="180">
        <v>1.95</v>
      </c>
      <c r="Z63" s="135" t="str">
        <f t="shared" si="4"/>
        <v>F</v>
      </c>
    </row>
    <row r="64" spans="1:33">
      <c r="A64" s="47">
        <v>197</v>
      </c>
      <c r="B64" s="105" t="s">
        <v>466</v>
      </c>
      <c r="C64" s="48">
        <v>2007</v>
      </c>
      <c r="D64" s="105" t="s">
        <v>513</v>
      </c>
      <c r="E64" s="46" t="s">
        <v>16</v>
      </c>
      <c r="F64" s="48">
        <v>2003</v>
      </c>
      <c r="G64" s="48" t="s">
        <v>125</v>
      </c>
      <c r="H64" s="48" t="s">
        <v>49</v>
      </c>
      <c r="I64" s="48"/>
      <c r="J64" s="87" t="s">
        <v>706</v>
      </c>
      <c r="K64" s="48" t="s">
        <v>653</v>
      </c>
      <c r="L64" s="48" t="s">
        <v>121</v>
      </c>
      <c r="M64" s="48"/>
      <c r="N64" s="48"/>
      <c r="O64" s="48" t="s">
        <v>515</v>
      </c>
      <c r="R64" s="48">
        <v>0.98</v>
      </c>
      <c r="U64" s="53">
        <v>0.99</v>
      </c>
      <c r="X64" s="134">
        <f t="shared" si="2"/>
        <v>0.98</v>
      </c>
      <c r="Y64" s="180">
        <v>0.5</v>
      </c>
      <c r="Z64" s="135" t="str">
        <f t="shared" si="4"/>
        <v>F</v>
      </c>
    </row>
    <row r="65" spans="1:33">
      <c r="A65" s="47">
        <v>197</v>
      </c>
      <c r="B65" s="105" t="s">
        <v>466</v>
      </c>
      <c r="C65" s="48">
        <v>2007</v>
      </c>
      <c r="D65" s="105" t="s">
        <v>513</v>
      </c>
      <c r="E65" s="46" t="s">
        <v>16</v>
      </c>
      <c r="F65" s="48">
        <v>2003</v>
      </c>
      <c r="G65" s="48" t="s">
        <v>125</v>
      </c>
      <c r="H65" s="48" t="s">
        <v>49</v>
      </c>
      <c r="I65" s="48"/>
      <c r="J65" s="87" t="s">
        <v>706</v>
      </c>
      <c r="K65" s="48" t="s">
        <v>653</v>
      </c>
      <c r="L65" s="48" t="s">
        <v>121</v>
      </c>
      <c r="M65" s="48"/>
      <c r="N65" s="48"/>
      <c r="O65" s="48" t="s">
        <v>515</v>
      </c>
      <c r="P65" s="48">
        <v>0.98</v>
      </c>
      <c r="Q65" s="48"/>
      <c r="R65" s="48">
        <f>+P65</f>
        <v>0.98</v>
      </c>
      <c r="S65" s="53">
        <v>0.99</v>
      </c>
      <c r="T65" s="53"/>
      <c r="U65" s="53">
        <f>+S65</f>
        <v>0.99</v>
      </c>
      <c r="V65" s="53">
        <v>0.5</v>
      </c>
      <c r="W65" s="53"/>
      <c r="X65" s="134">
        <f t="shared" si="2"/>
        <v>0.98</v>
      </c>
      <c r="Y65" s="180">
        <f>+V65</f>
        <v>0.5</v>
      </c>
      <c r="Z65" s="135" t="str">
        <f t="shared" si="4"/>
        <v>F</v>
      </c>
    </row>
    <row r="66" spans="1:33">
      <c r="A66" s="47">
        <v>197</v>
      </c>
      <c r="B66" s="105" t="s">
        <v>466</v>
      </c>
      <c r="C66" s="48">
        <v>2007</v>
      </c>
      <c r="D66" s="105" t="s">
        <v>513</v>
      </c>
      <c r="E66" s="46" t="s">
        <v>16</v>
      </c>
      <c r="F66" s="48">
        <v>2003</v>
      </c>
      <c r="G66" s="48" t="s">
        <v>125</v>
      </c>
      <c r="H66" s="48" t="s">
        <v>49</v>
      </c>
      <c r="I66" s="48"/>
      <c r="J66" s="87" t="s">
        <v>706</v>
      </c>
      <c r="K66" s="48" t="s">
        <v>653</v>
      </c>
      <c r="L66" s="48" t="s">
        <v>121</v>
      </c>
      <c r="M66" s="48"/>
      <c r="N66" s="48"/>
      <c r="O66" s="48" t="s">
        <v>515</v>
      </c>
      <c r="P66" s="48"/>
      <c r="Q66" s="48">
        <v>0.88</v>
      </c>
      <c r="R66" s="48">
        <f>+Q66</f>
        <v>0.88</v>
      </c>
      <c r="S66" s="53"/>
      <c r="T66" s="53">
        <v>0.89</v>
      </c>
      <c r="U66" s="53">
        <f>+T66</f>
        <v>0.89</v>
      </c>
      <c r="V66" s="53"/>
      <c r="W66" s="53">
        <v>1.3</v>
      </c>
      <c r="X66" s="134">
        <f t="shared" ref="X66:X97" si="5">IF(R66&lt;&gt;0,IF(R66&gt;1,R66/100,R66),IF(U66&lt;&gt;0,IF(U66&gt;1,U66/100,U66),""))</f>
        <v>0.88</v>
      </c>
      <c r="Y66" s="180">
        <f>+W66</f>
        <v>1.3</v>
      </c>
      <c r="Z66" s="135" t="str">
        <f t="shared" si="4"/>
        <v>S</v>
      </c>
    </row>
    <row r="67" spans="1:33">
      <c r="A67" s="37"/>
      <c r="B67" s="37" t="s">
        <v>563</v>
      </c>
      <c r="C67" s="106">
        <v>1996</v>
      </c>
      <c r="D67" s="107"/>
      <c r="E67" s="46" t="s">
        <v>56</v>
      </c>
      <c r="F67" s="37"/>
      <c r="G67" s="37"/>
      <c r="H67" s="37" t="s">
        <v>564</v>
      </c>
      <c r="I67" s="37"/>
      <c r="J67" s="87" t="s">
        <v>706</v>
      </c>
      <c r="K67" s="37" t="s">
        <v>662</v>
      </c>
      <c r="L67" s="37" t="s">
        <v>565</v>
      </c>
      <c r="M67" s="37"/>
      <c r="N67" s="37"/>
      <c r="O67" s="37" t="s">
        <v>566</v>
      </c>
      <c r="P67" s="37"/>
      <c r="Q67" s="37"/>
      <c r="R67" s="37"/>
      <c r="S67" s="41"/>
      <c r="T67" s="41"/>
      <c r="U67" s="41"/>
      <c r="V67" s="41">
        <f>0.85/2</f>
        <v>0.42499999999999999</v>
      </c>
      <c r="W67" s="41"/>
      <c r="X67" s="134" t="str">
        <f t="shared" si="5"/>
        <v/>
      </c>
      <c r="Y67" s="103">
        <f>+V67</f>
        <v>0.42499999999999999</v>
      </c>
      <c r="Z67" s="135" t="s">
        <v>824</v>
      </c>
    </row>
    <row r="68" spans="1:33">
      <c r="A68" s="47">
        <v>173</v>
      </c>
      <c r="B68" s="48" t="s">
        <v>302</v>
      </c>
      <c r="C68" s="48">
        <v>2011</v>
      </c>
      <c r="D68" s="74" t="s">
        <v>352</v>
      </c>
      <c r="E68" s="46" t="s">
        <v>354</v>
      </c>
      <c r="F68" s="50" t="s">
        <v>369</v>
      </c>
      <c r="G68" s="48" t="s">
        <v>370</v>
      </c>
      <c r="H68" s="48" t="s">
        <v>39</v>
      </c>
      <c r="I68" s="48"/>
      <c r="J68" s="87" t="s">
        <v>706</v>
      </c>
      <c r="K68" s="48" t="s">
        <v>728</v>
      </c>
      <c r="L68" s="48" t="s">
        <v>768</v>
      </c>
      <c r="M68" s="56"/>
      <c r="N68" s="56"/>
      <c r="O68" s="48" t="s">
        <v>372</v>
      </c>
      <c r="P68" s="52"/>
      <c r="Q68" s="52"/>
      <c r="R68" s="48"/>
      <c r="S68" s="53"/>
      <c r="T68" s="53"/>
      <c r="U68" s="54">
        <v>0.91300000000000003</v>
      </c>
      <c r="V68" s="53"/>
      <c r="W68" s="53"/>
      <c r="X68" s="134">
        <f t="shared" si="5"/>
        <v>0.91300000000000003</v>
      </c>
      <c r="Y68" s="180">
        <v>0.41</v>
      </c>
      <c r="Z68" s="135" t="str">
        <f t="shared" ref="Z68:Z104" si="6">IF(X68&lt;&gt;"",IF(X68&lt;0.9,"S","F"),"")</f>
        <v>F</v>
      </c>
    </row>
    <row r="69" spans="1:33">
      <c r="A69" s="47">
        <v>173</v>
      </c>
      <c r="B69" s="48" t="s">
        <v>302</v>
      </c>
      <c r="C69" s="48">
        <v>2011</v>
      </c>
      <c r="D69" s="74" t="s">
        <v>352</v>
      </c>
      <c r="E69" s="46" t="s">
        <v>354</v>
      </c>
      <c r="F69" s="50" t="s">
        <v>369</v>
      </c>
      <c r="G69" s="48" t="s">
        <v>370</v>
      </c>
      <c r="H69" s="48" t="s">
        <v>39</v>
      </c>
      <c r="I69" s="48"/>
      <c r="J69" s="87" t="s">
        <v>706</v>
      </c>
      <c r="K69" s="48" t="s">
        <v>728</v>
      </c>
      <c r="L69" s="48" t="s">
        <v>373</v>
      </c>
      <c r="M69" s="56"/>
      <c r="N69" s="56"/>
      <c r="O69" s="48" t="s">
        <v>374</v>
      </c>
      <c r="P69" s="52"/>
      <c r="Q69" s="52"/>
      <c r="R69" s="48"/>
      <c r="S69" s="53"/>
      <c r="T69" s="53"/>
      <c r="U69" s="54">
        <v>0.88500000000000001</v>
      </c>
      <c r="V69" s="53"/>
      <c r="W69" s="53"/>
      <c r="X69" s="134">
        <f t="shared" si="5"/>
        <v>0.88500000000000001</v>
      </c>
      <c r="Y69" s="180">
        <v>0.5</v>
      </c>
      <c r="Z69" s="135" t="str">
        <f t="shared" si="6"/>
        <v>S</v>
      </c>
    </row>
    <row r="70" spans="1:33">
      <c r="A70" s="47">
        <v>197</v>
      </c>
      <c r="B70" s="105" t="s">
        <v>466</v>
      </c>
      <c r="C70" s="48">
        <v>2007</v>
      </c>
      <c r="D70" s="105" t="s">
        <v>513</v>
      </c>
      <c r="E70" s="46" t="s">
        <v>16</v>
      </c>
      <c r="F70" s="48">
        <v>2003</v>
      </c>
      <c r="G70" s="48" t="s">
        <v>125</v>
      </c>
      <c r="H70" s="48" t="s">
        <v>49</v>
      </c>
      <c r="I70" s="48"/>
      <c r="J70" s="87" t="s">
        <v>706</v>
      </c>
      <c r="K70" s="48" t="s">
        <v>708</v>
      </c>
      <c r="L70" s="48" t="s">
        <v>509</v>
      </c>
      <c r="M70" s="48"/>
      <c r="N70" s="48"/>
      <c r="O70" s="48" t="s">
        <v>517</v>
      </c>
      <c r="P70" s="48">
        <v>0.98</v>
      </c>
      <c r="Q70" s="48"/>
      <c r="R70" s="48">
        <f>+P70</f>
        <v>0.98</v>
      </c>
      <c r="S70" s="53">
        <v>0.99</v>
      </c>
      <c r="T70" s="53"/>
      <c r="U70" s="53">
        <f>+S70</f>
        <v>0.99</v>
      </c>
      <c r="V70" s="53">
        <v>2.5</v>
      </c>
      <c r="W70" s="53"/>
      <c r="X70" s="134">
        <f t="shared" si="5"/>
        <v>0.98</v>
      </c>
      <c r="Y70" s="180">
        <f>+V70</f>
        <v>2.5</v>
      </c>
      <c r="Z70" s="135" t="str">
        <f t="shared" si="6"/>
        <v>F</v>
      </c>
    </row>
    <row r="71" spans="1:33">
      <c r="A71" s="47">
        <v>197</v>
      </c>
      <c r="B71" s="105" t="s">
        <v>466</v>
      </c>
      <c r="C71" s="48">
        <v>2007</v>
      </c>
      <c r="D71" s="105" t="s">
        <v>513</v>
      </c>
      <c r="E71" s="46" t="s">
        <v>16</v>
      </c>
      <c r="F71" s="48">
        <v>2003</v>
      </c>
      <c r="G71" s="48" t="s">
        <v>125</v>
      </c>
      <c r="H71" s="48" t="s">
        <v>49</v>
      </c>
      <c r="I71" s="48"/>
      <c r="J71" s="87" t="s">
        <v>706</v>
      </c>
      <c r="K71" s="48" t="s">
        <v>708</v>
      </c>
      <c r="L71" s="48" t="s">
        <v>509</v>
      </c>
      <c r="M71" s="48"/>
      <c r="N71" s="48"/>
      <c r="O71" s="48" t="s">
        <v>517</v>
      </c>
      <c r="R71" s="48">
        <v>0.93</v>
      </c>
      <c r="U71" s="53">
        <v>0.96</v>
      </c>
      <c r="X71" s="134">
        <f t="shared" si="5"/>
        <v>0.93</v>
      </c>
      <c r="Y71" s="180">
        <v>2.5</v>
      </c>
      <c r="Z71" s="135" t="str">
        <f t="shared" si="6"/>
        <v>F</v>
      </c>
    </row>
    <row r="72" spans="1:33">
      <c r="A72" s="47">
        <v>197</v>
      </c>
      <c r="B72" s="105" t="s">
        <v>466</v>
      </c>
      <c r="C72" s="48">
        <v>2007</v>
      </c>
      <c r="D72" s="105" t="s">
        <v>513</v>
      </c>
      <c r="E72" s="46" t="s">
        <v>16</v>
      </c>
      <c r="F72" s="48">
        <v>2003</v>
      </c>
      <c r="G72" s="48" t="s">
        <v>125</v>
      </c>
      <c r="H72" s="48" t="s">
        <v>49</v>
      </c>
      <c r="I72" s="48"/>
      <c r="J72" s="87" t="s">
        <v>706</v>
      </c>
      <c r="K72" s="48" t="s">
        <v>708</v>
      </c>
      <c r="L72" s="48" t="s">
        <v>509</v>
      </c>
      <c r="M72" s="48"/>
      <c r="N72" s="48"/>
      <c r="O72" s="48" t="s">
        <v>517</v>
      </c>
      <c r="P72" s="48"/>
      <c r="Q72" s="48">
        <v>0.8</v>
      </c>
      <c r="R72" s="48">
        <f>+Q72</f>
        <v>0.8</v>
      </c>
      <c r="S72" s="53"/>
      <c r="T72" s="53">
        <v>0.85</v>
      </c>
      <c r="U72" s="53">
        <f>+T72</f>
        <v>0.85</v>
      </c>
      <c r="V72" s="53"/>
      <c r="W72" s="53">
        <v>2.5</v>
      </c>
      <c r="X72" s="134">
        <f t="shared" si="5"/>
        <v>0.8</v>
      </c>
      <c r="Y72" s="180">
        <f>+W72</f>
        <v>2.5</v>
      </c>
      <c r="Z72" s="135" t="str">
        <f t="shared" si="6"/>
        <v>S</v>
      </c>
    </row>
    <row r="73" spans="1:33">
      <c r="A73" s="87"/>
      <c r="B73" s="37" t="s">
        <v>563</v>
      </c>
      <c r="C73" s="106">
        <v>1996</v>
      </c>
      <c r="D73" s="87"/>
      <c r="E73" s="46" t="s">
        <v>56</v>
      </c>
      <c r="F73" s="87"/>
      <c r="G73" s="87"/>
      <c r="H73" s="87" t="s">
        <v>570</v>
      </c>
      <c r="I73" s="87" t="s">
        <v>590</v>
      </c>
      <c r="J73" s="87" t="s">
        <v>706</v>
      </c>
      <c r="K73" s="48"/>
      <c r="L73" s="87"/>
      <c r="M73" s="87"/>
      <c r="N73" s="87"/>
      <c r="O73" s="37" t="s">
        <v>569</v>
      </c>
      <c r="P73" s="87"/>
      <c r="Q73" s="87"/>
      <c r="R73" s="87"/>
      <c r="S73" s="103"/>
      <c r="T73" s="103"/>
      <c r="U73" s="103">
        <v>0.81</v>
      </c>
      <c r="V73" s="103"/>
      <c r="W73" s="41">
        <f>0.56/2</f>
        <v>0.28000000000000003</v>
      </c>
      <c r="X73" s="134">
        <f t="shared" si="5"/>
        <v>0.81</v>
      </c>
      <c r="Y73" s="103">
        <f>+W73</f>
        <v>0.28000000000000003</v>
      </c>
      <c r="Z73" s="135" t="str">
        <f t="shared" si="6"/>
        <v>S</v>
      </c>
    </row>
    <row r="74" spans="1:33" s="95" customFormat="1">
      <c r="A74" s="197">
        <v>197</v>
      </c>
      <c r="B74" s="198" t="s">
        <v>466</v>
      </c>
      <c r="C74" s="199">
        <v>2007</v>
      </c>
      <c r="D74" s="198" t="s">
        <v>513</v>
      </c>
      <c r="E74" s="193" t="s">
        <v>16</v>
      </c>
      <c r="F74" s="199">
        <v>2003</v>
      </c>
      <c r="G74" s="199" t="s">
        <v>125</v>
      </c>
      <c r="H74" s="199" t="s">
        <v>49</v>
      </c>
      <c r="I74" s="199"/>
      <c r="J74" s="194" t="s">
        <v>658</v>
      </c>
      <c r="K74" s="199" t="s">
        <v>683</v>
      </c>
      <c r="L74" s="199" t="s">
        <v>464</v>
      </c>
      <c r="M74" s="199"/>
      <c r="N74" s="199"/>
      <c r="O74" s="199" t="s">
        <v>522</v>
      </c>
      <c r="P74" s="199">
        <v>0.98</v>
      </c>
      <c r="Q74" s="199"/>
      <c r="R74" s="199">
        <f>+P74</f>
        <v>0.98</v>
      </c>
      <c r="S74" s="200">
        <v>0.99</v>
      </c>
      <c r="T74" s="200"/>
      <c r="U74" s="200">
        <f>+S74</f>
        <v>0.99</v>
      </c>
      <c r="V74" s="200">
        <v>4.3</v>
      </c>
      <c r="W74" s="200"/>
      <c r="X74" s="137">
        <f t="shared" si="5"/>
        <v>0.98</v>
      </c>
      <c r="Y74" s="201">
        <f>+V74</f>
        <v>4.3</v>
      </c>
      <c r="Z74" s="138" t="str">
        <f t="shared" si="6"/>
        <v>F</v>
      </c>
      <c r="AA74" s="232" t="str">
        <f>+J74</f>
        <v>W grass</v>
      </c>
      <c r="AB74" s="157" t="s">
        <v>814</v>
      </c>
      <c r="AC74" s="157" t="s">
        <v>815</v>
      </c>
      <c r="AD74" s="157" t="s">
        <v>816</v>
      </c>
      <c r="AE74" s="157" t="s">
        <v>817</v>
      </c>
      <c r="AF74" s="157" t="s">
        <v>818</v>
      </c>
      <c r="AG74" s="157" t="s">
        <v>819</v>
      </c>
    </row>
    <row r="75" spans="1:33" s="95" customFormat="1">
      <c r="A75" s="197">
        <v>118</v>
      </c>
      <c r="B75" s="198" t="s">
        <v>199</v>
      </c>
      <c r="C75" s="199">
        <v>1999</v>
      </c>
      <c r="D75" s="198" t="s">
        <v>200</v>
      </c>
      <c r="E75" s="193" t="s">
        <v>16</v>
      </c>
      <c r="F75" s="199">
        <v>1999</v>
      </c>
      <c r="G75" s="199" t="s">
        <v>125</v>
      </c>
      <c r="H75" s="199" t="s">
        <v>49</v>
      </c>
      <c r="I75" s="199"/>
      <c r="J75" s="194" t="s">
        <v>658</v>
      </c>
      <c r="K75" s="199" t="s">
        <v>683</v>
      </c>
      <c r="L75" s="199" t="s">
        <v>202</v>
      </c>
      <c r="M75" s="199"/>
      <c r="N75" s="199"/>
      <c r="O75" s="199">
        <v>11</v>
      </c>
      <c r="P75" s="199"/>
      <c r="Q75" s="199"/>
      <c r="R75" s="199"/>
      <c r="S75" s="200"/>
      <c r="T75" s="200"/>
      <c r="U75" s="200">
        <v>0.97</v>
      </c>
      <c r="V75" s="200"/>
      <c r="W75" s="200"/>
      <c r="X75" s="137">
        <f t="shared" si="5"/>
        <v>0.97</v>
      </c>
      <c r="Y75" s="201">
        <v>1.71</v>
      </c>
      <c r="Z75" s="138" t="str">
        <f t="shared" si="6"/>
        <v>F</v>
      </c>
      <c r="AA75" s="228" t="s">
        <v>813</v>
      </c>
      <c r="AB75" s="229">
        <f>AVERAGE($Y$74:$Y$79)</f>
        <v>3.1066666666666669</v>
      </c>
      <c r="AC75" s="229">
        <f>MEDIAN($Y$74:$Y$79)</f>
        <v>3.11</v>
      </c>
      <c r="AD75" s="229">
        <f>MAX($Y$74:$Y$79)</f>
        <v>4.8</v>
      </c>
      <c r="AE75" s="229">
        <f>MIN($Y$74:$Y$79)</f>
        <v>1.41</v>
      </c>
      <c r="AF75" s="229">
        <f>STDEV($Y$74:$Y$79)</f>
        <v>1.5792614307538404</v>
      </c>
      <c r="AG75" s="230">
        <f>COUNT($Y$74:$Y$79)</f>
        <v>6</v>
      </c>
    </row>
    <row r="76" spans="1:33" s="95" customFormat="1">
      <c r="A76" s="197">
        <v>118</v>
      </c>
      <c r="B76" s="198" t="s">
        <v>199</v>
      </c>
      <c r="C76" s="199">
        <v>1999</v>
      </c>
      <c r="D76" s="198" t="s">
        <v>200</v>
      </c>
      <c r="E76" s="193" t="s">
        <v>16</v>
      </c>
      <c r="F76" s="199">
        <v>1999</v>
      </c>
      <c r="G76" s="199" t="s">
        <v>125</v>
      </c>
      <c r="H76" s="199" t="s">
        <v>49</v>
      </c>
      <c r="I76" s="199"/>
      <c r="J76" s="194" t="s">
        <v>658</v>
      </c>
      <c r="K76" s="199" t="s">
        <v>683</v>
      </c>
      <c r="L76" s="199" t="s">
        <v>202</v>
      </c>
      <c r="M76" s="199"/>
      <c r="N76" s="199"/>
      <c r="O76" s="199">
        <v>12</v>
      </c>
      <c r="P76" s="199"/>
      <c r="Q76" s="199"/>
      <c r="R76" s="199"/>
      <c r="S76" s="200"/>
      <c r="T76" s="200"/>
      <c r="U76" s="200">
        <v>0.96</v>
      </c>
      <c r="V76" s="200"/>
      <c r="W76" s="200"/>
      <c r="X76" s="137">
        <f t="shared" si="5"/>
        <v>0.96</v>
      </c>
      <c r="Y76" s="201">
        <v>1.41</v>
      </c>
      <c r="Z76" s="138" t="str">
        <f t="shared" si="6"/>
        <v>F</v>
      </c>
    </row>
    <row r="77" spans="1:33" s="95" customFormat="1">
      <c r="A77" s="197">
        <v>118</v>
      </c>
      <c r="B77" s="198" t="s">
        <v>199</v>
      </c>
      <c r="C77" s="199">
        <v>1999</v>
      </c>
      <c r="D77" s="198" t="s">
        <v>200</v>
      </c>
      <c r="E77" s="193" t="s">
        <v>16</v>
      </c>
      <c r="F77" s="199">
        <v>1999</v>
      </c>
      <c r="G77" s="199" t="s">
        <v>125</v>
      </c>
      <c r="H77" s="199" t="s">
        <v>49</v>
      </c>
      <c r="I77" s="199"/>
      <c r="J77" s="194" t="s">
        <v>658</v>
      </c>
      <c r="K77" s="199" t="s">
        <v>683</v>
      </c>
      <c r="L77" s="199" t="s">
        <v>202</v>
      </c>
      <c r="M77" s="199"/>
      <c r="N77" s="199"/>
      <c r="O77" s="199">
        <v>2</v>
      </c>
      <c r="P77" s="199"/>
      <c r="Q77" s="199"/>
      <c r="R77" s="199"/>
      <c r="S77" s="200"/>
      <c r="T77" s="200"/>
      <c r="U77" s="200">
        <v>0.96</v>
      </c>
      <c r="V77" s="200"/>
      <c r="W77" s="200"/>
      <c r="X77" s="137">
        <f t="shared" si="5"/>
        <v>0.96</v>
      </c>
      <c r="Y77" s="201">
        <v>1.92</v>
      </c>
      <c r="Z77" s="138" t="str">
        <f t="shared" si="6"/>
        <v>F</v>
      </c>
    </row>
    <row r="78" spans="1:33" s="95" customFormat="1">
      <c r="A78" s="197">
        <v>197</v>
      </c>
      <c r="B78" s="198" t="s">
        <v>466</v>
      </c>
      <c r="C78" s="199">
        <v>2007</v>
      </c>
      <c r="D78" s="198" t="s">
        <v>513</v>
      </c>
      <c r="E78" s="193" t="s">
        <v>16</v>
      </c>
      <c r="F78" s="199">
        <v>2003</v>
      </c>
      <c r="G78" s="199" t="s">
        <v>125</v>
      </c>
      <c r="H78" s="199" t="s">
        <v>49</v>
      </c>
      <c r="I78" s="199"/>
      <c r="J78" s="194" t="s">
        <v>658</v>
      </c>
      <c r="K78" s="199" t="s">
        <v>683</v>
      </c>
      <c r="L78" s="199" t="s">
        <v>464</v>
      </c>
      <c r="M78" s="199"/>
      <c r="N78" s="199"/>
      <c r="O78" s="199" t="s">
        <v>522</v>
      </c>
      <c r="R78" s="199">
        <v>0.9</v>
      </c>
      <c r="U78" s="200">
        <v>0.97499999999999998</v>
      </c>
      <c r="X78" s="137">
        <f t="shared" si="5"/>
        <v>0.9</v>
      </c>
      <c r="Y78" s="201">
        <v>4.5</v>
      </c>
      <c r="Z78" s="138" t="str">
        <f t="shared" si="6"/>
        <v>F</v>
      </c>
    </row>
    <row r="79" spans="1:33" s="95" customFormat="1">
      <c r="A79" s="197">
        <v>197</v>
      </c>
      <c r="B79" s="198" t="s">
        <v>466</v>
      </c>
      <c r="C79" s="199">
        <v>2007</v>
      </c>
      <c r="D79" s="198" t="s">
        <v>513</v>
      </c>
      <c r="E79" s="193" t="s">
        <v>16</v>
      </c>
      <c r="F79" s="199">
        <v>2003</v>
      </c>
      <c r="G79" s="199" t="s">
        <v>125</v>
      </c>
      <c r="H79" s="199" t="s">
        <v>49</v>
      </c>
      <c r="I79" s="199"/>
      <c r="J79" s="194" t="s">
        <v>658</v>
      </c>
      <c r="K79" s="199" t="s">
        <v>683</v>
      </c>
      <c r="L79" s="199" t="s">
        <v>464</v>
      </c>
      <c r="M79" s="199"/>
      <c r="N79" s="199"/>
      <c r="O79" s="199" t="s">
        <v>522</v>
      </c>
      <c r="P79" s="199"/>
      <c r="Q79" s="199">
        <v>0.5</v>
      </c>
      <c r="R79" s="199">
        <f>+Q79</f>
        <v>0.5</v>
      </c>
      <c r="S79" s="200"/>
      <c r="T79" s="200" t="s">
        <v>523</v>
      </c>
      <c r="U79" s="200" t="str">
        <f>+T79</f>
        <v>.82-.94</v>
      </c>
      <c r="V79" s="200"/>
      <c r="W79" s="200">
        <v>4.8</v>
      </c>
      <c r="X79" s="137">
        <f t="shared" si="5"/>
        <v>0.5</v>
      </c>
      <c r="Y79" s="201">
        <f>+W79</f>
        <v>4.8</v>
      </c>
      <c r="Z79" s="138" t="str">
        <f t="shared" si="6"/>
        <v>S</v>
      </c>
    </row>
    <row r="80" spans="1:33" s="104" customFormat="1">
      <c r="A80" s="47">
        <v>173</v>
      </c>
      <c r="B80" s="48" t="s">
        <v>302</v>
      </c>
      <c r="C80" s="48">
        <v>2011</v>
      </c>
      <c r="D80" s="74" t="s">
        <v>352</v>
      </c>
      <c r="E80" s="46" t="s">
        <v>354</v>
      </c>
      <c r="F80" s="50" t="s">
        <v>390</v>
      </c>
      <c r="G80" s="48" t="s">
        <v>391</v>
      </c>
      <c r="H80" s="48" t="s">
        <v>301</v>
      </c>
      <c r="I80" s="48"/>
      <c r="J80" s="87" t="s">
        <v>705</v>
      </c>
      <c r="K80" s="48" t="s">
        <v>652</v>
      </c>
      <c r="L80" s="48" t="s">
        <v>392</v>
      </c>
      <c r="M80" s="56"/>
      <c r="N80" s="56"/>
      <c r="O80" s="48" t="s">
        <v>393</v>
      </c>
      <c r="P80" s="52"/>
      <c r="Q80" s="52"/>
      <c r="R80" s="48"/>
      <c r="S80" s="53"/>
      <c r="T80" s="53"/>
      <c r="U80" s="54">
        <v>0.94</v>
      </c>
      <c r="V80" s="53"/>
      <c r="W80" s="53"/>
      <c r="X80" s="172">
        <f t="shared" si="5"/>
        <v>0.94</v>
      </c>
      <c r="Y80" s="180">
        <v>0.87</v>
      </c>
      <c r="Z80" s="173" t="str">
        <f t="shared" si="6"/>
        <v>F</v>
      </c>
      <c r="AA80" s="179" t="str">
        <f>+J80</f>
        <v>W hardwood</v>
      </c>
      <c r="AB80" s="175" t="s">
        <v>814</v>
      </c>
      <c r="AC80" s="175" t="s">
        <v>815</v>
      </c>
      <c r="AD80" s="175" t="s">
        <v>816</v>
      </c>
      <c r="AE80" s="175" t="s">
        <v>817</v>
      </c>
      <c r="AF80" s="175" t="s">
        <v>818</v>
      </c>
      <c r="AG80" s="175" t="s">
        <v>819</v>
      </c>
    </row>
    <row r="81" spans="1:33" s="104" customFormat="1">
      <c r="A81" s="47">
        <v>172</v>
      </c>
      <c r="B81" s="48" t="s">
        <v>302</v>
      </c>
      <c r="C81" s="48">
        <v>2010</v>
      </c>
      <c r="D81" s="48" t="s">
        <v>303</v>
      </c>
      <c r="E81" s="46" t="s">
        <v>305</v>
      </c>
      <c r="F81" s="50">
        <v>40225</v>
      </c>
      <c r="G81" s="48" t="s">
        <v>324</v>
      </c>
      <c r="H81" s="48" t="s">
        <v>301</v>
      </c>
      <c r="I81" s="48"/>
      <c r="J81" s="87" t="s">
        <v>705</v>
      </c>
      <c r="K81" s="48" t="s">
        <v>650</v>
      </c>
      <c r="L81" s="48" t="s">
        <v>327</v>
      </c>
      <c r="M81" s="51" t="s">
        <v>328</v>
      </c>
      <c r="N81" s="51" t="s">
        <v>329</v>
      </c>
      <c r="O81" s="48"/>
      <c r="P81" s="52"/>
      <c r="Q81" s="52"/>
      <c r="R81" s="48"/>
      <c r="S81" s="53"/>
      <c r="T81" s="53"/>
      <c r="U81" s="55">
        <v>0.97099999999999997</v>
      </c>
      <c r="V81" s="54"/>
      <c r="W81" s="54"/>
      <c r="X81" s="172">
        <f t="shared" si="5"/>
        <v>0.97099999999999997</v>
      </c>
      <c r="Y81" s="183">
        <v>2.8069999999999999</v>
      </c>
      <c r="Z81" s="173" t="str">
        <f t="shared" si="6"/>
        <v>F</v>
      </c>
      <c r="AA81" s="175" t="s">
        <v>813</v>
      </c>
      <c r="AB81" s="176">
        <f>AVERAGE($Y$80:$Y$82)</f>
        <v>2.1696666666666666</v>
      </c>
      <c r="AC81" s="176">
        <f>MEDIAN($Y$80:$Y$82)</f>
        <v>2.8069999999999999</v>
      </c>
      <c r="AD81" s="176">
        <f>MAX($Y$80:$Y$82)</f>
        <v>2.8319999999999999</v>
      </c>
      <c r="AE81" s="176">
        <f>MIN($Y$80:$Y$82)</f>
        <v>0.87</v>
      </c>
      <c r="AF81" s="176">
        <f>STDEV($Y$80:$Y$82)</f>
        <v>1.1256137585039248</v>
      </c>
      <c r="AG81" s="231">
        <f>COUNT($Y$80:$Y$82)</f>
        <v>3</v>
      </c>
    </row>
    <row r="82" spans="1:33" s="104" customFormat="1">
      <c r="A82" s="47">
        <v>172</v>
      </c>
      <c r="B82" s="48" t="s">
        <v>302</v>
      </c>
      <c r="C82" s="48">
        <v>2010</v>
      </c>
      <c r="D82" s="48" t="s">
        <v>303</v>
      </c>
      <c r="E82" s="46" t="s">
        <v>305</v>
      </c>
      <c r="F82" s="50">
        <v>40226</v>
      </c>
      <c r="G82" s="48" t="s">
        <v>324</v>
      </c>
      <c r="H82" s="48" t="s">
        <v>301</v>
      </c>
      <c r="I82" s="48"/>
      <c r="J82" s="87" t="s">
        <v>705</v>
      </c>
      <c r="K82" s="48" t="s">
        <v>651</v>
      </c>
      <c r="L82" s="48" t="s">
        <v>330</v>
      </c>
      <c r="M82" s="51" t="s">
        <v>328</v>
      </c>
      <c r="N82" s="51" t="s">
        <v>331</v>
      </c>
      <c r="O82" s="48"/>
      <c r="P82" s="52"/>
      <c r="Q82" s="52"/>
      <c r="R82" s="48"/>
      <c r="S82" s="53"/>
      <c r="T82" s="53"/>
      <c r="U82" s="55">
        <v>0.96499999999999997</v>
      </c>
      <c r="V82" s="54"/>
      <c r="W82" s="54"/>
      <c r="X82" s="172">
        <f t="shared" si="5"/>
        <v>0.96499999999999997</v>
      </c>
      <c r="Y82" s="183">
        <v>2.8319999999999999</v>
      </c>
      <c r="Z82" s="173" t="str">
        <f t="shared" si="6"/>
        <v>F</v>
      </c>
    </row>
    <row r="83" spans="1:33" s="95" customFormat="1">
      <c r="A83" s="197">
        <v>172</v>
      </c>
      <c r="B83" s="199" t="s">
        <v>302</v>
      </c>
      <c r="C83" s="199">
        <v>2010</v>
      </c>
      <c r="D83" s="199" t="s">
        <v>303</v>
      </c>
      <c r="E83" s="193" t="s">
        <v>305</v>
      </c>
      <c r="F83" s="213">
        <v>40218</v>
      </c>
      <c r="G83" s="199" t="s">
        <v>306</v>
      </c>
      <c r="H83" s="199" t="s">
        <v>39</v>
      </c>
      <c r="I83" s="199"/>
      <c r="J83" s="194" t="s">
        <v>704</v>
      </c>
      <c r="K83" s="199" t="s">
        <v>613</v>
      </c>
      <c r="L83" s="199" t="s">
        <v>307</v>
      </c>
      <c r="M83" s="217" t="s">
        <v>308</v>
      </c>
      <c r="N83" s="217"/>
      <c r="O83" s="199"/>
      <c r="P83" s="199"/>
      <c r="Q83" s="199"/>
      <c r="R83" s="199"/>
      <c r="S83" s="200"/>
      <c r="T83" s="200"/>
      <c r="U83" s="215">
        <v>0.94599999999999995</v>
      </c>
      <c r="V83" s="218"/>
      <c r="W83" s="218"/>
      <c r="X83" s="137">
        <f t="shared" si="5"/>
        <v>0.94599999999999995</v>
      </c>
      <c r="Y83" s="216">
        <v>2.4660000000000002</v>
      </c>
      <c r="Z83" s="138" t="str">
        <f t="shared" si="6"/>
        <v>F</v>
      </c>
      <c r="AA83" s="232" t="str">
        <f>+J83</f>
        <v>W shrub</v>
      </c>
      <c r="AB83" s="157" t="s">
        <v>814</v>
      </c>
      <c r="AC83" s="157" t="s">
        <v>815</v>
      </c>
      <c r="AD83" s="157" t="s">
        <v>816</v>
      </c>
      <c r="AE83" s="157" t="s">
        <v>817</v>
      </c>
      <c r="AF83" s="157" t="s">
        <v>818</v>
      </c>
      <c r="AG83" s="157" t="s">
        <v>819</v>
      </c>
    </row>
    <row r="84" spans="1:33" s="95" customFormat="1">
      <c r="A84" s="197">
        <v>174</v>
      </c>
      <c r="B84" s="199" t="s">
        <v>407</v>
      </c>
      <c r="C84" s="199">
        <v>2009</v>
      </c>
      <c r="D84" s="206" t="s">
        <v>408</v>
      </c>
      <c r="E84" s="193" t="s">
        <v>16</v>
      </c>
      <c r="F84" s="213" t="s">
        <v>410</v>
      </c>
      <c r="G84" s="199" t="s">
        <v>427</v>
      </c>
      <c r="H84" s="199" t="s">
        <v>39</v>
      </c>
      <c r="I84" s="199"/>
      <c r="J84" s="194" t="s">
        <v>704</v>
      </c>
      <c r="K84" s="199" t="s">
        <v>613</v>
      </c>
      <c r="L84" s="199" t="s">
        <v>449</v>
      </c>
      <c r="M84" s="217"/>
      <c r="N84" s="217"/>
      <c r="O84" s="199" t="s">
        <v>91</v>
      </c>
      <c r="P84" s="202"/>
      <c r="Q84" s="202"/>
      <c r="R84" s="199"/>
      <c r="S84" s="200"/>
      <c r="T84" s="200"/>
      <c r="U84" s="218">
        <v>0.91300000000000003</v>
      </c>
      <c r="V84" s="200"/>
      <c r="W84" s="200"/>
      <c r="X84" s="137">
        <f t="shared" si="5"/>
        <v>0.91300000000000003</v>
      </c>
      <c r="Y84" s="224">
        <v>4.3</v>
      </c>
      <c r="Z84" s="138" t="str">
        <f t="shared" si="6"/>
        <v>F</v>
      </c>
      <c r="AA84" s="228" t="s">
        <v>813</v>
      </c>
      <c r="AB84" s="229">
        <f>AVERAGE($Y$83:$Y$104)</f>
        <v>2.4454999999999996</v>
      </c>
      <c r="AC84" s="229">
        <f>MEDIAN($Y$83:$Y$104)</f>
        <v>2.23</v>
      </c>
      <c r="AD84" s="229">
        <f>MAX($Y$83:$Y$104)</f>
        <v>6.6</v>
      </c>
      <c r="AE84" s="229">
        <f>MIN($Y$83:$Y$104)</f>
        <v>0.41</v>
      </c>
      <c r="AF84" s="229">
        <f>STDEV($Y$83:$Y$104)</f>
        <v>1.5945654356505505</v>
      </c>
      <c r="AG84" s="230">
        <f>COUNT($Y$83:$Y$104)</f>
        <v>22</v>
      </c>
    </row>
    <row r="85" spans="1:33" s="95" customFormat="1">
      <c r="A85" s="197">
        <v>172</v>
      </c>
      <c r="B85" s="199" t="s">
        <v>302</v>
      </c>
      <c r="C85" s="199">
        <v>2010</v>
      </c>
      <c r="D85" s="199" t="s">
        <v>303</v>
      </c>
      <c r="E85" s="193" t="s">
        <v>305</v>
      </c>
      <c r="F85" s="213">
        <v>40219</v>
      </c>
      <c r="G85" s="199" t="s">
        <v>306</v>
      </c>
      <c r="H85" s="199" t="s">
        <v>39</v>
      </c>
      <c r="I85" s="199"/>
      <c r="J85" s="194" t="s">
        <v>704</v>
      </c>
      <c r="K85" s="199" t="s">
        <v>614</v>
      </c>
      <c r="L85" s="199" t="s">
        <v>309</v>
      </c>
      <c r="M85" s="214" t="s">
        <v>93</v>
      </c>
      <c r="N85" s="214" t="s">
        <v>310</v>
      </c>
      <c r="O85" s="199"/>
      <c r="P85" s="202"/>
      <c r="Q85" s="202"/>
      <c r="R85" s="199"/>
      <c r="S85" s="200"/>
      <c r="T85" s="200"/>
      <c r="U85" s="215">
        <v>0.93899999999999995</v>
      </c>
      <c r="V85" s="218"/>
      <c r="W85" s="218"/>
      <c r="X85" s="137">
        <f t="shared" si="5"/>
        <v>0.93899999999999995</v>
      </c>
      <c r="Y85" s="216">
        <v>2.5059999999999998</v>
      </c>
      <c r="Z85" s="138" t="str">
        <f t="shared" si="6"/>
        <v>F</v>
      </c>
    </row>
    <row r="86" spans="1:33" s="95" customFormat="1">
      <c r="A86" s="197">
        <v>174</v>
      </c>
      <c r="B86" s="199" t="s">
        <v>407</v>
      </c>
      <c r="C86" s="199">
        <v>2009</v>
      </c>
      <c r="D86" s="206" t="s">
        <v>408</v>
      </c>
      <c r="E86" s="193" t="s">
        <v>16</v>
      </c>
      <c r="F86" s="213" t="s">
        <v>410</v>
      </c>
      <c r="G86" s="199" t="s">
        <v>427</v>
      </c>
      <c r="H86" s="199" t="s">
        <v>39</v>
      </c>
      <c r="I86" s="199"/>
      <c r="J86" s="194" t="s">
        <v>704</v>
      </c>
      <c r="K86" s="199" t="s">
        <v>614</v>
      </c>
      <c r="L86" s="199" t="s">
        <v>92</v>
      </c>
      <c r="M86" s="217"/>
      <c r="N86" s="217"/>
      <c r="O86" s="199" t="s">
        <v>92</v>
      </c>
      <c r="P86" s="202"/>
      <c r="Q86" s="202"/>
      <c r="R86" s="199"/>
      <c r="S86" s="200"/>
      <c r="T86" s="200"/>
      <c r="U86" s="218">
        <v>0.91400000000000003</v>
      </c>
      <c r="V86" s="200"/>
      <c r="W86" s="200"/>
      <c r="X86" s="137">
        <f t="shared" si="5"/>
        <v>0.91400000000000003</v>
      </c>
      <c r="Y86" s="224">
        <v>1.7</v>
      </c>
      <c r="Z86" s="138" t="str">
        <f t="shared" si="6"/>
        <v>F</v>
      </c>
    </row>
    <row r="87" spans="1:33" s="95" customFormat="1">
      <c r="A87" s="197">
        <v>172</v>
      </c>
      <c r="B87" s="199" t="s">
        <v>302</v>
      </c>
      <c r="C87" s="199">
        <v>2010</v>
      </c>
      <c r="D87" s="199" t="s">
        <v>303</v>
      </c>
      <c r="E87" s="193" t="s">
        <v>305</v>
      </c>
      <c r="F87" s="213">
        <v>40222</v>
      </c>
      <c r="G87" s="199" t="s">
        <v>311</v>
      </c>
      <c r="H87" s="199" t="s">
        <v>39</v>
      </c>
      <c r="I87" s="199"/>
      <c r="J87" s="194" t="s">
        <v>704</v>
      </c>
      <c r="K87" s="199" t="s">
        <v>611</v>
      </c>
      <c r="L87" s="199" t="s">
        <v>318</v>
      </c>
      <c r="M87" s="214" t="s">
        <v>319</v>
      </c>
      <c r="N87" s="214" t="s">
        <v>320</v>
      </c>
      <c r="O87" s="199"/>
      <c r="P87" s="202"/>
      <c r="Q87" s="202"/>
      <c r="R87" s="199"/>
      <c r="S87" s="200"/>
      <c r="T87" s="200"/>
      <c r="U87" s="215">
        <v>0.94799999999999995</v>
      </c>
      <c r="V87" s="218"/>
      <c r="W87" s="218"/>
      <c r="X87" s="137">
        <f t="shared" si="5"/>
        <v>0.94799999999999995</v>
      </c>
      <c r="Y87" s="216">
        <v>2.3109999999999999</v>
      </c>
      <c r="Z87" s="138" t="str">
        <f t="shared" si="6"/>
        <v>F</v>
      </c>
    </row>
    <row r="88" spans="1:33" s="95" customFormat="1">
      <c r="A88" s="197">
        <v>174</v>
      </c>
      <c r="B88" s="199" t="s">
        <v>407</v>
      </c>
      <c r="C88" s="199">
        <v>2009</v>
      </c>
      <c r="D88" s="206" t="s">
        <v>408</v>
      </c>
      <c r="E88" s="193" t="s">
        <v>16</v>
      </c>
      <c r="F88" s="213" t="s">
        <v>410</v>
      </c>
      <c r="G88" s="199" t="s">
        <v>427</v>
      </c>
      <c r="H88" s="199" t="s">
        <v>39</v>
      </c>
      <c r="I88" s="199"/>
      <c r="J88" s="194" t="s">
        <v>704</v>
      </c>
      <c r="K88" s="199" t="s">
        <v>611</v>
      </c>
      <c r="L88" s="199" t="s">
        <v>94</v>
      </c>
      <c r="M88" s="217"/>
      <c r="N88" s="217"/>
      <c r="O88" s="199" t="s">
        <v>94</v>
      </c>
      <c r="P88" s="202"/>
      <c r="Q88" s="202"/>
      <c r="R88" s="199"/>
      <c r="S88" s="200"/>
      <c r="T88" s="200"/>
      <c r="U88" s="218">
        <v>0.89900000000000002</v>
      </c>
      <c r="V88" s="200"/>
      <c r="W88" s="200"/>
      <c r="X88" s="137">
        <f t="shared" si="5"/>
        <v>0.89900000000000002</v>
      </c>
      <c r="Y88" s="224">
        <v>1.3</v>
      </c>
      <c r="Z88" s="138" t="str">
        <f t="shared" si="6"/>
        <v>S</v>
      </c>
    </row>
    <row r="89" spans="1:33" s="95" customFormat="1">
      <c r="A89" s="197">
        <v>172</v>
      </c>
      <c r="B89" s="199" t="s">
        <v>302</v>
      </c>
      <c r="C89" s="199">
        <v>2010</v>
      </c>
      <c r="D89" s="199" t="s">
        <v>303</v>
      </c>
      <c r="E89" s="193" t="s">
        <v>305</v>
      </c>
      <c r="F89" s="213">
        <v>40223</v>
      </c>
      <c r="G89" s="199" t="s">
        <v>311</v>
      </c>
      <c r="H89" s="199" t="s">
        <v>39</v>
      </c>
      <c r="I89" s="199"/>
      <c r="J89" s="194" t="s">
        <v>704</v>
      </c>
      <c r="K89" s="199" t="s">
        <v>612</v>
      </c>
      <c r="L89" s="199" t="s">
        <v>321</v>
      </c>
      <c r="M89" s="214" t="s">
        <v>322</v>
      </c>
      <c r="N89" s="214" t="s">
        <v>323</v>
      </c>
      <c r="O89" s="199"/>
      <c r="P89" s="202"/>
      <c r="Q89" s="202"/>
      <c r="R89" s="199"/>
      <c r="S89" s="200"/>
      <c r="T89" s="200"/>
      <c r="U89" s="215">
        <v>0.95199999999999996</v>
      </c>
      <c r="V89" s="218"/>
      <c r="W89" s="218"/>
      <c r="X89" s="137">
        <f t="shared" si="5"/>
        <v>0.95199999999999996</v>
      </c>
      <c r="Y89" s="216">
        <v>2.327</v>
      </c>
      <c r="Z89" s="138" t="str">
        <f t="shared" si="6"/>
        <v>F</v>
      </c>
    </row>
    <row r="90" spans="1:33" s="95" customFormat="1">
      <c r="A90" s="197">
        <v>173</v>
      </c>
      <c r="B90" s="199" t="s">
        <v>302</v>
      </c>
      <c r="C90" s="199">
        <v>2011</v>
      </c>
      <c r="D90" s="206" t="s">
        <v>352</v>
      </c>
      <c r="E90" s="193" t="s">
        <v>354</v>
      </c>
      <c r="F90" s="213" t="s">
        <v>382</v>
      </c>
      <c r="G90" s="199" t="s">
        <v>383</v>
      </c>
      <c r="H90" s="199" t="s">
        <v>39</v>
      </c>
      <c r="I90" s="199"/>
      <c r="J90" s="194" t="s">
        <v>704</v>
      </c>
      <c r="K90" s="199" t="s">
        <v>612</v>
      </c>
      <c r="L90" s="199" t="s">
        <v>384</v>
      </c>
      <c r="M90" s="217"/>
      <c r="N90" s="217"/>
      <c r="O90" s="199" t="s">
        <v>385</v>
      </c>
      <c r="P90" s="202"/>
      <c r="Q90" s="202"/>
      <c r="R90" s="199"/>
      <c r="S90" s="200"/>
      <c r="T90" s="200"/>
      <c r="U90" s="218">
        <v>0.93300000000000005</v>
      </c>
      <c r="V90" s="200"/>
      <c r="W90" s="200"/>
      <c r="X90" s="137">
        <f t="shared" si="5"/>
        <v>0.93300000000000005</v>
      </c>
      <c r="Y90" s="201">
        <v>0.93</v>
      </c>
      <c r="Z90" s="138" t="str">
        <f t="shared" si="6"/>
        <v>F</v>
      </c>
    </row>
    <row r="91" spans="1:33" s="95" customFormat="1">
      <c r="A91" s="197">
        <v>174</v>
      </c>
      <c r="B91" s="199" t="s">
        <v>407</v>
      </c>
      <c r="C91" s="199">
        <v>2009</v>
      </c>
      <c r="D91" s="206" t="s">
        <v>408</v>
      </c>
      <c r="E91" s="193" t="s">
        <v>16</v>
      </c>
      <c r="F91" s="213" t="s">
        <v>410</v>
      </c>
      <c r="G91" s="199" t="s">
        <v>427</v>
      </c>
      <c r="H91" s="199" t="s">
        <v>39</v>
      </c>
      <c r="I91" s="199"/>
      <c r="J91" s="194" t="s">
        <v>704</v>
      </c>
      <c r="K91" s="199" t="s">
        <v>612</v>
      </c>
      <c r="L91" s="199" t="s">
        <v>444</v>
      </c>
      <c r="M91" s="217"/>
      <c r="N91" s="217"/>
      <c r="O91" s="199" t="s">
        <v>51</v>
      </c>
      <c r="P91" s="202"/>
      <c r="Q91" s="202"/>
      <c r="R91" s="199"/>
      <c r="S91" s="200"/>
      <c r="T91" s="200"/>
      <c r="U91" s="218">
        <v>0.90900000000000003</v>
      </c>
      <c r="V91" s="200"/>
      <c r="W91" s="200"/>
      <c r="X91" s="137">
        <f t="shared" si="5"/>
        <v>0.90900000000000003</v>
      </c>
      <c r="Y91" s="224">
        <v>1.7</v>
      </c>
      <c r="Z91" s="138" t="str">
        <f t="shared" si="6"/>
        <v>F</v>
      </c>
    </row>
    <row r="92" spans="1:33" s="95" customFormat="1">
      <c r="A92" s="197">
        <v>173</v>
      </c>
      <c r="B92" s="199" t="s">
        <v>302</v>
      </c>
      <c r="C92" s="199">
        <v>2011</v>
      </c>
      <c r="D92" s="206" t="s">
        <v>352</v>
      </c>
      <c r="E92" s="193" t="s">
        <v>354</v>
      </c>
      <c r="F92" s="213" t="s">
        <v>378</v>
      </c>
      <c r="G92" s="199" t="s">
        <v>311</v>
      </c>
      <c r="H92" s="199" t="s">
        <v>39</v>
      </c>
      <c r="I92" s="199"/>
      <c r="J92" s="194" t="s">
        <v>704</v>
      </c>
      <c r="K92" s="199" t="s">
        <v>623</v>
      </c>
      <c r="L92" s="199" t="s">
        <v>616</v>
      </c>
      <c r="M92" s="217"/>
      <c r="N92" s="217"/>
      <c r="O92" s="199" t="s">
        <v>381</v>
      </c>
      <c r="P92" s="202"/>
      <c r="Q92" s="202"/>
      <c r="R92" s="199"/>
      <c r="S92" s="200"/>
      <c r="T92" s="200"/>
      <c r="U92" s="218">
        <v>0.90300000000000002</v>
      </c>
      <c r="V92" s="200"/>
      <c r="W92" s="200"/>
      <c r="X92" s="137">
        <f t="shared" si="5"/>
        <v>0.90300000000000002</v>
      </c>
      <c r="Y92" s="201">
        <v>0.41</v>
      </c>
      <c r="Z92" s="138" t="str">
        <f t="shared" si="6"/>
        <v>F</v>
      </c>
    </row>
    <row r="93" spans="1:33" s="95" customFormat="1">
      <c r="A93" s="197">
        <v>173</v>
      </c>
      <c r="B93" s="199" t="s">
        <v>302</v>
      </c>
      <c r="C93" s="199">
        <v>2011</v>
      </c>
      <c r="D93" s="206" t="s">
        <v>352</v>
      </c>
      <c r="E93" s="193" t="s">
        <v>354</v>
      </c>
      <c r="F93" s="213" t="s">
        <v>375</v>
      </c>
      <c r="G93" s="199" t="s">
        <v>311</v>
      </c>
      <c r="H93" s="199" t="s">
        <v>39</v>
      </c>
      <c r="I93" s="199"/>
      <c r="J93" s="194" t="s">
        <v>704</v>
      </c>
      <c r="K93" s="199" t="s">
        <v>624</v>
      </c>
      <c r="L93" s="199" t="s">
        <v>376</v>
      </c>
      <c r="M93" s="217"/>
      <c r="N93" s="217"/>
      <c r="O93" s="199" t="s">
        <v>377</v>
      </c>
      <c r="P93" s="202"/>
      <c r="Q93" s="202"/>
      <c r="R93" s="199"/>
      <c r="S93" s="200"/>
      <c r="T93" s="200"/>
      <c r="U93" s="218">
        <v>0.95</v>
      </c>
      <c r="V93" s="200"/>
      <c r="W93" s="200"/>
      <c r="X93" s="137">
        <f t="shared" si="5"/>
        <v>0.95</v>
      </c>
      <c r="Y93" s="201">
        <v>0.95</v>
      </c>
      <c r="Z93" s="138" t="str">
        <f t="shared" si="6"/>
        <v>F</v>
      </c>
    </row>
    <row r="94" spans="1:33" s="95" customFormat="1">
      <c r="A94" s="197">
        <v>172</v>
      </c>
      <c r="B94" s="199" t="s">
        <v>302</v>
      </c>
      <c r="C94" s="199">
        <v>2010</v>
      </c>
      <c r="D94" s="199" t="s">
        <v>303</v>
      </c>
      <c r="E94" s="193" t="s">
        <v>305</v>
      </c>
      <c r="F94" s="213">
        <v>40220</v>
      </c>
      <c r="G94" s="199" t="s">
        <v>311</v>
      </c>
      <c r="H94" s="199" t="s">
        <v>39</v>
      </c>
      <c r="I94" s="199"/>
      <c r="J94" s="194" t="s">
        <v>704</v>
      </c>
      <c r="K94" s="199" t="s">
        <v>624</v>
      </c>
      <c r="L94" s="199" t="s">
        <v>312</v>
      </c>
      <c r="M94" s="214" t="s">
        <v>313</v>
      </c>
      <c r="N94" s="214" t="s">
        <v>314</v>
      </c>
      <c r="O94" s="199"/>
      <c r="P94" s="202"/>
      <c r="Q94" s="202"/>
      <c r="R94" s="199"/>
      <c r="S94" s="200"/>
      <c r="T94" s="200"/>
      <c r="U94" s="215">
        <v>0.94399999999999995</v>
      </c>
      <c r="V94" s="218"/>
      <c r="W94" s="218"/>
      <c r="X94" s="137">
        <f t="shared" si="5"/>
        <v>0.94399999999999995</v>
      </c>
      <c r="Y94" s="216">
        <v>2.2599999999999998</v>
      </c>
      <c r="Z94" s="138" t="str">
        <f t="shared" si="6"/>
        <v>F</v>
      </c>
    </row>
    <row r="95" spans="1:33" s="95" customFormat="1">
      <c r="A95" s="197">
        <v>172</v>
      </c>
      <c r="B95" s="199" t="s">
        <v>302</v>
      </c>
      <c r="C95" s="199">
        <v>2010</v>
      </c>
      <c r="D95" s="199" t="s">
        <v>303</v>
      </c>
      <c r="E95" s="193" t="s">
        <v>305</v>
      </c>
      <c r="F95" s="213">
        <v>40221</v>
      </c>
      <c r="G95" s="199" t="s">
        <v>311</v>
      </c>
      <c r="H95" s="199" t="s">
        <v>39</v>
      </c>
      <c r="I95" s="199"/>
      <c r="J95" s="194" t="s">
        <v>704</v>
      </c>
      <c r="K95" s="199" t="s">
        <v>624</v>
      </c>
      <c r="L95" s="199" t="s">
        <v>315</v>
      </c>
      <c r="M95" s="214" t="s">
        <v>316</v>
      </c>
      <c r="N95" s="214" t="s">
        <v>317</v>
      </c>
      <c r="O95" s="199"/>
      <c r="P95" s="202"/>
      <c r="Q95" s="202"/>
      <c r="R95" s="199"/>
      <c r="S95" s="200"/>
      <c r="T95" s="200"/>
      <c r="U95" s="215">
        <v>0.93899999999999995</v>
      </c>
      <c r="V95" s="218"/>
      <c r="W95" s="218"/>
      <c r="X95" s="137">
        <f t="shared" si="5"/>
        <v>0.93899999999999995</v>
      </c>
      <c r="Y95" s="216">
        <v>2.06</v>
      </c>
      <c r="Z95" s="138" t="str">
        <f t="shared" si="6"/>
        <v>F</v>
      </c>
    </row>
    <row r="96" spans="1:33" s="95" customFormat="1">
      <c r="A96" s="197">
        <v>173</v>
      </c>
      <c r="B96" s="199" t="s">
        <v>302</v>
      </c>
      <c r="C96" s="199">
        <v>2011</v>
      </c>
      <c r="D96" s="206" t="s">
        <v>352</v>
      </c>
      <c r="E96" s="193" t="s">
        <v>354</v>
      </c>
      <c r="F96" s="213" t="s">
        <v>378</v>
      </c>
      <c r="G96" s="199" t="s">
        <v>311</v>
      </c>
      <c r="H96" s="199" t="s">
        <v>39</v>
      </c>
      <c r="I96" s="199"/>
      <c r="J96" s="194" t="s">
        <v>704</v>
      </c>
      <c r="K96" s="199" t="s">
        <v>624</v>
      </c>
      <c r="L96" s="199" t="s">
        <v>376</v>
      </c>
      <c r="M96" s="217"/>
      <c r="N96" s="217"/>
      <c r="O96" s="199" t="s">
        <v>379</v>
      </c>
      <c r="P96" s="202"/>
      <c r="Q96" s="202"/>
      <c r="R96" s="199"/>
      <c r="S96" s="200"/>
      <c r="T96" s="200"/>
      <c r="U96" s="218">
        <v>0.93799999999999994</v>
      </c>
      <c r="V96" s="200"/>
      <c r="W96" s="200"/>
      <c r="X96" s="137">
        <f t="shared" si="5"/>
        <v>0.93799999999999994</v>
      </c>
      <c r="Y96" s="201">
        <v>0.56999999999999995</v>
      </c>
      <c r="Z96" s="138" t="str">
        <f t="shared" si="6"/>
        <v>F</v>
      </c>
    </row>
    <row r="97" spans="1:26" s="95" customFormat="1">
      <c r="A97" s="197">
        <v>174</v>
      </c>
      <c r="B97" s="199" t="s">
        <v>407</v>
      </c>
      <c r="C97" s="199">
        <v>2009</v>
      </c>
      <c r="D97" s="206" t="s">
        <v>408</v>
      </c>
      <c r="E97" s="193" t="s">
        <v>16</v>
      </c>
      <c r="F97" s="213" t="s">
        <v>410</v>
      </c>
      <c r="G97" s="199"/>
      <c r="H97" s="199"/>
      <c r="I97" s="199"/>
      <c r="J97" s="194" t="s">
        <v>704</v>
      </c>
      <c r="K97" s="199" t="s">
        <v>707</v>
      </c>
      <c r="L97" s="199" t="s">
        <v>431</v>
      </c>
      <c r="M97" s="217"/>
      <c r="N97" s="217"/>
      <c r="O97" s="199" t="s">
        <v>432</v>
      </c>
      <c r="P97" s="202"/>
      <c r="Q97" s="202"/>
      <c r="R97" s="199"/>
      <c r="S97" s="200"/>
      <c r="T97" s="200"/>
      <c r="U97" s="218">
        <v>0.90500000000000003</v>
      </c>
      <c r="V97" s="200"/>
      <c r="W97" s="200"/>
      <c r="X97" s="137">
        <f t="shared" si="5"/>
        <v>0.90500000000000003</v>
      </c>
      <c r="Y97" s="224">
        <v>4.5999999999999996</v>
      </c>
      <c r="Z97" s="138" t="str">
        <f t="shared" si="6"/>
        <v>F</v>
      </c>
    </row>
    <row r="98" spans="1:26" s="95" customFormat="1">
      <c r="A98" s="197">
        <v>174</v>
      </c>
      <c r="B98" s="199" t="s">
        <v>407</v>
      </c>
      <c r="C98" s="199">
        <v>2009</v>
      </c>
      <c r="D98" s="206" t="s">
        <v>408</v>
      </c>
      <c r="E98" s="193" t="s">
        <v>16</v>
      </c>
      <c r="F98" s="213" t="s">
        <v>410</v>
      </c>
      <c r="G98" s="199" t="s">
        <v>454</v>
      </c>
      <c r="H98" s="199" t="s">
        <v>455</v>
      </c>
      <c r="I98" s="199"/>
      <c r="J98" s="194" t="s">
        <v>704</v>
      </c>
      <c r="K98" s="199" t="s">
        <v>664</v>
      </c>
      <c r="L98" s="199" t="s">
        <v>462</v>
      </c>
      <c r="M98" s="217"/>
      <c r="N98" s="217"/>
      <c r="O98" s="199" t="s">
        <v>463</v>
      </c>
      <c r="P98" s="202"/>
      <c r="Q98" s="202"/>
      <c r="R98" s="199"/>
      <c r="S98" s="200"/>
      <c r="T98" s="200"/>
      <c r="U98" s="218">
        <v>0.93500000000000005</v>
      </c>
      <c r="V98" s="200"/>
      <c r="W98" s="200"/>
      <c r="X98" s="137">
        <f t="shared" ref="X98:X104" si="7">IF(R98&lt;&gt;0,IF(R98&gt;1,R98/100,R98),IF(U98&lt;&gt;0,IF(U98&gt;1,U98/100,U98),""))</f>
        <v>0.93500000000000005</v>
      </c>
      <c r="Y98" s="224">
        <v>1.4</v>
      </c>
      <c r="Z98" s="138" t="str">
        <f t="shared" si="6"/>
        <v>F</v>
      </c>
    </row>
    <row r="99" spans="1:26" s="95" customFormat="1">
      <c r="A99" s="197">
        <v>197</v>
      </c>
      <c r="B99" s="198" t="s">
        <v>466</v>
      </c>
      <c r="C99" s="199">
        <v>2007</v>
      </c>
      <c r="D99" s="198" t="s">
        <v>513</v>
      </c>
      <c r="E99" s="193" t="s">
        <v>16</v>
      </c>
      <c r="F99" s="199">
        <v>2003</v>
      </c>
      <c r="G99" s="199" t="s">
        <v>125</v>
      </c>
      <c r="H99" s="199" t="s">
        <v>49</v>
      </c>
      <c r="I99" s="199"/>
      <c r="J99" s="194" t="s">
        <v>704</v>
      </c>
      <c r="K99" s="199" t="s">
        <v>655</v>
      </c>
      <c r="L99" s="199" t="s">
        <v>167</v>
      </c>
      <c r="M99" s="199"/>
      <c r="N99" s="199"/>
      <c r="O99" s="199" t="s">
        <v>518</v>
      </c>
      <c r="P99" s="199">
        <v>0.96</v>
      </c>
      <c r="Q99" s="199"/>
      <c r="R99" s="199">
        <f>+P99</f>
        <v>0.96</v>
      </c>
      <c r="S99" s="200">
        <v>0.98</v>
      </c>
      <c r="T99" s="200"/>
      <c r="U99" s="200">
        <f>+S99</f>
        <v>0.98</v>
      </c>
      <c r="V99" s="200">
        <v>1.6</v>
      </c>
      <c r="W99" s="200"/>
      <c r="X99" s="137">
        <f t="shared" si="7"/>
        <v>0.96</v>
      </c>
      <c r="Y99" s="201">
        <f>+V99</f>
        <v>1.6</v>
      </c>
      <c r="Z99" s="138" t="str">
        <f t="shared" si="6"/>
        <v>F</v>
      </c>
    </row>
    <row r="100" spans="1:26" s="95" customFormat="1">
      <c r="A100" s="197">
        <v>197</v>
      </c>
      <c r="B100" s="198" t="s">
        <v>466</v>
      </c>
      <c r="C100" s="199">
        <v>2007</v>
      </c>
      <c r="D100" s="198" t="s">
        <v>513</v>
      </c>
      <c r="E100" s="193" t="s">
        <v>16</v>
      </c>
      <c r="F100" s="199">
        <v>2003</v>
      </c>
      <c r="G100" s="199" t="s">
        <v>125</v>
      </c>
      <c r="H100" s="199" t="s">
        <v>49</v>
      </c>
      <c r="I100" s="199"/>
      <c r="J100" s="194" t="s">
        <v>704</v>
      </c>
      <c r="K100" s="199" t="s">
        <v>655</v>
      </c>
      <c r="L100" s="199" t="s">
        <v>167</v>
      </c>
      <c r="M100" s="199"/>
      <c r="N100" s="199"/>
      <c r="O100" s="199" t="s">
        <v>518</v>
      </c>
      <c r="R100" s="199">
        <v>0.93</v>
      </c>
      <c r="U100" s="200">
        <v>0.95</v>
      </c>
      <c r="X100" s="137">
        <f t="shared" si="7"/>
        <v>0.93</v>
      </c>
      <c r="Y100" s="201">
        <v>3.3</v>
      </c>
      <c r="Z100" s="138" t="str">
        <f t="shared" si="6"/>
        <v>F</v>
      </c>
    </row>
    <row r="101" spans="1:26" s="95" customFormat="1">
      <c r="A101" s="197">
        <v>174</v>
      </c>
      <c r="B101" s="199" t="s">
        <v>407</v>
      </c>
      <c r="C101" s="199">
        <v>2009</v>
      </c>
      <c r="D101" s="206" t="s">
        <v>408</v>
      </c>
      <c r="E101" s="193" t="s">
        <v>16</v>
      </c>
      <c r="F101" s="213" t="s">
        <v>410</v>
      </c>
      <c r="G101" s="199" t="s">
        <v>423</v>
      </c>
      <c r="H101" s="199" t="s">
        <v>49</v>
      </c>
      <c r="I101" s="199"/>
      <c r="J101" s="194" t="s">
        <v>704</v>
      </c>
      <c r="K101" s="199" t="s">
        <v>655</v>
      </c>
      <c r="L101" s="199" t="s">
        <v>52</v>
      </c>
      <c r="M101" s="217"/>
      <c r="N101" s="217"/>
      <c r="O101" s="199" t="s">
        <v>52</v>
      </c>
      <c r="P101" s="202"/>
      <c r="Q101" s="202"/>
      <c r="R101" s="199"/>
      <c r="S101" s="200"/>
      <c r="T101" s="200"/>
      <c r="U101" s="218">
        <v>0.88900000000000001</v>
      </c>
      <c r="V101" s="200"/>
      <c r="W101" s="200"/>
      <c r="X101" s="137">
        <f t="shared" si="7"/>
        <v>0.88900000000000001</v>
      </c>
      <c r="Y101" s="224">
        <v>5.7</v>
      </c>
      <c r="Z101" s="138" t="str">
        <f t="shared" si="6"/>
        <v>S</v>
      </c>
    </row>
    <row r="102" spans="1:26" s="95" customFormat="1">
      <c r="A102" s="197">
        <v>197</v>
      </c>
      <c r="B102" s="198" t="s">
        <v>466</v>
      </c>
      <c r="C102" s="199">
        <v>2007</v>
      </c>
      <c r="D102" s="198" t="s">
        <v>513</v>
      </c>
      <c r="E102" s="193" t="s">
        <v>16</v>
      </c>
      <c r="F102" s="199">
        <v>2003</v>
      </c>
      <c r="G102" s="199" t="s">
        <v>125</v>
      </c>
      <c r="H102" s="199" t="s">
        <v>49</v>
      </c>
      <c r="I102" s="199"/>
      <c r="J102" s="194" t="s">
        <v>704</v>
      </c>
      <c r="K102" s="199" t="s">
        <v>655</v>
      </c>
      <c r="L102" s="199" t="s">
        <v>167</v>
      </c>
      <c r="M102" s="199"/>
      <c r="N102" s="199"/>
      <c r="O102" s="199" t="s">
        <v>518</v>
      </c>
      <c r="P102" s="199"/>
      <c r="Q102" s="199">
        <v>0.86</v>
      </c>
      <c r="R102" s="199">
        <f>+Q102</f>
        <v>0.86</v>
      </c>
      <c r="S102" s="200"/>
      <c r="T102" s="200">
        <v>0.88</v>
      </c>
      <c r="U102" s="200">
        <f>+T102</f>
        <v>0.88</v>
      </c>
      <c r="V102" s="200"/>
      <c r="W102" s="200">
        <v>6.6</v>
      </c>
      <c r="X102" s="137">
        <f t="shared" si="7"/>
        <v>0.86</v>
      </c>
      <c r="Y102" s="201">
        <f>+W102</f>
        <v>6.6</v>
      </c>
      <c r="Z102" s="138" t="str">
        <f t="shared" si="6"/>
        <v>S</v>
      </c>
    </row>
    <row r="103" spans="1:26" s="95" customFormat="1">
      <c r="A103" s="197">
        <v>174</v>
      </c>
      <c r="B103" s="199" t="s">
        <v>407</v>
      </c>
      <c r="C103" s="199">
        <v>2009</v>
      </c>
      <c r="D103" s="206" t="s">
        <v>408</v>
      </c>
      <c r="E103" s="193" t="s">
        <v>16</v>
      </c>
      <c r="F103" s="213" t="s">
        <v>410</v>
      </c>
      <c r="G103" s="199" t="s">
        <v>454</v>
      </c>
      <c r="H103" s="199" t="s">
        <v>455</v>
      </c>
      <c r="I103" s="199"/>
      <c r="J103" s="194" t="s">
        <v>704</v>
      </c>
      <c r="K103" s="199" t="s">
        <v>665</v>
      </c>
      <c r="L103" s="199" t="s">
        <v>456</v>
      </c>
      <c r="M103" s="217"/>
      <c r="N103" s="217"/>
      <c r="O103" s="199" t="s">
        <v>457</v>
      </c>
      <c r="P103" s="202"/>
      <c r="Q103" s="202"/>
      <c r="R103" s="199"/>
      <c r="S103" s="200"/>
      <c r="T103" s="200"/>
      <c r="U103" s="218">
        <v>0.95599999999999996</v>
      </c>
      <c r="V103" s="200"/>
      <c r="W103" s="200"/>
      <c r="X103" s="137">
        <f t="shared" si="7"/>
        <v>0.95599999999999996</v>
      </c>
      <c r="Y103" s="224">
        <v>2.2000000000000002</v>
      </c>
      <c r="Z103" s="138" t="str">
        <f t="shared" si="6"/>
        <v>F</v>
      </c>
    </row>
    <row r="104" spans="1:26" s="95" customFormat="1">
      <c r="A104" s="197">
        <v>172</v>
      </c>
      <c r="B104" s="199" t="s">
        <v>302</v>
      </c>
      <c r="C104" s="199">
        <v>2010</v>
      </c>
      <c r="D104" s="199" t="s">
        <v>303</v>
      </c>
      <c r="E104" s="193" t="s">
        <v>305</v>
      </c>
      <c r="F104" s="213">
        <v>40224</v>
      </c>
      <c r="G104" s="199" t="s">
        <v>324</v>
      </c>
      <c r="H104" s="199" t="s">
        <v>301</v>
      </c>
      <c r="I104" s="199"/>
      <c r="J104" s="194" t="s">
        <v>704</v>
      </c>
      <c r="K104" s="199" t="s">
        <v>681</v>
      </c>
      <c r="L104" s="199" t="s">
        <v>325</v>
      </c>
      <c r="M104" s="214" t="s">
        <v>326</v>
      </c>
      <c r="N104" s="214"/>
      <c r="O104" s="199"/>
      <c r="P104" s="202"/>
      <c r="Q104" s="202"/>
      <c r="R104" s="199"/>
      <c r="S104" s="200"/>
      <c r="T104" s="200"/>
      <c r="U104" s="215">
        <v>0.95399999999999996</v>
      </c>
      <c r="V104" s="218"/>
      <c r="W104" s="218"/>
      <c r="X104" s="137">
        <f t="shared" si="7"/>
        <v>0.95399999999999996</v>
      </c>
      <c r="Y104" s="216">
        <v>2.6110000000000002</v>
      </c>
      <c r="Z104" s="138" t="str">
        <f t="shared" si="6"/>
        <v>F</v>
      </c>
    </row>
    <row r="107" spans="1:26">
      <c r="A107" s="47">
        <v>174</v>
      </c>
      <c r="B107" s="48" t="s">
        <v>407</v>
      </c>
      <c r="C107" s="48">
        <v>2009</v>
      </c>
      <c r="D107" s="74" t="s">
        <v>408</v>
      </c>
      <c r="E107" s="46" t="s">
        <v>16</v>
      </c>
      <c r="F107" s="50" t="s">
        <v>410</v>
      </c>
      <c r="G107" s="48"/>
      <c r="H107" s="48"/>
      <c r="I107" s="48"/>
      <c r="J107" s="87" t="s">
        <v>598</v>
      </c>
      <c r="K107" s="48" t="s">
        <v>643</v>
      </c>
      <c r="L107" s="48" t="s">
        <v>447</v>
      </c>
      <c r="M107" s="56"/>
      <c r="N107" s="56"/>
      <c r="O107" s="48" t="s">
        <v>448</v>
      </c>
      <c r="P107" s="52"/>
      <c r="Q107" s="52"/>
      <c r="R107" s="48"/>
      <c r="S107" s="53"/>
      <c r="T107" s="53"/>
      <c r="U107" s="54">
        <v>0.92200000000000004</v>
      </c>
      <c r="V107" s="53"/>
      <c r="W107" s="53"/>
      <c r="X107" s="134">
        <f>IF(R107&lt;&gt;0,IF(R107&gt;1,R107/100,R107),IF(U107&lt;&gt;0,IF(U107&gt;1,U107/100,U107),""))</f>
        <v>0.92200000000000004</v>
      </c>
      <c r="Y107" s="185">
        <v>2.2000000000000002</v>
      </c>
      <c r="Z107" s="135" t="str">
        <f>IF(X107&lt;&gt;"",IF(X107&lt;0.9,"S","F"),"")</f>
        <v>F</v>
      </c>
    </row>
    <row r="108" spans="1:26">
      <c r="A108" s="47">
        <v>174</v>
      </c>
      <c r="B108" s="48" t="s">
        <v>407</v>
      </c>
      <c r="C108" s="48">
        <v>2009</v>
      </c>
      <c r="D108" s="74" t="s">
        <v>408</v>
      </c>
      <c r="E108" s="46" t="s">
        <v>16</v>
      </c>
      <c r="F108" s="50" t="s">
        <v>410</v>
      </c>
      <c r="G108" s="48" t="s">
        <v>458</v>
      </c>
      <c r="H108" s="48"/>
      <c r="I108" s="48"/>
      <c r="J108" s="87" t="s">
        <v>598</v>
      </c>
      <c r="K108" s="48" t="s">
        <v>642</v>
      </c>
      <c r="L108" s="48" t="s">
        <v>459</v>
      </c>
      <c r="M108" s="56"/>
      <c r="N108" s="56"/>
      <c r="O108" s="48" t="s">
        <v>460</v>
      </c>
      <c r="P108" s="52"/>
      <c r="Q108" s="52"/>
      <c r="R108" s="48"/>
      <c r="S108" s="53"/>
      <c r="T108" s="53"/>
      <c r="U108" s="54">
        <v>0.94299999999999995</v>
      </c>
      <c r="V108" s="53"/>
      <c r="W108" s="53"/>
      <c r="X108" s="134">
        <f>IF(R108&lt;&gt;0,IF(R108&gt;1,R108/100,R108),IF(U108&lt;&gt;0,IF(U108&gt;1,U108/100,U108),""))</f>
        <v>0.94299999999999995</v>
      </c>
      <c r="Y108" s="185">
        <v>0.8</v>
      </c>
      <c r="Z108" s="135" t="str">
        <f>IF(X108&lt;&gt;"",IF(X108&lt;0.9,"S","F"),"")</f>
        <v>F</v>
      </c>
    </row>
    <row r="109" spans="1:26">
      <c r="A109" s="47">
        <v>174</v>
      </c>
      <c r="B109" s="48" t="s">
        <v>407</v>
      </c>
      <c r="C109" s="48">
        <v>2009</v>
      </c>
      <c r="D109" s="74" t="s">
        <v>408</v>
      </c>
      <c r="E109" s="46" t="s">
        <v>16</v>
      </c>
      <c r="F109" s="50" t="s">
        <v>410</v>
      </c>
      <c r="G109" s="48" t="s">
        <v>442</v>
      </c>
      <c r="H109" s="48"/>
      <c r="I109" s="48"/>
      <c r="J109" s="87" t="s">
        <v>598</v>
      </c>
      <c r="K109" s="48" t="s">
        <v>644</v>
      </c>
      <c r="L109" s="48" t="s">
        <v>443</v>
      </c>
      <c r="M109" s="56"/>
      <c r="N109" s="56"/>
      <c r="O109" s="48" t="s">
        <v>443</v>
      </c>
      <c r="P109" s="52"/>
      <c r="Q109" s="52"/>
      <c r="R109" s="48"/>
      <c r="S109" s="53"/>
      <c r="T109" s="53"/>
      <c r="U109" s="54">
        <v>0.91100000000000003</v>
      </c>
      <c r="V109" s="53"/>
      <c r="W109" s="53"/>
      <c r="X109" s="134">
        <f>IF(R109&lt;&gt;0,IF(R109&gt;1,R109/100,R109),IF(U109&lt;&gt;0,IF(U109&gt;1,U109/100,U109),""))</f>
        <v>0.91100000000000003</v>
      </c>
      <c r="Y109" s="185">
        <v>2.5</v>
      </c>
      <c r="Z109" s="135" t="str">
        <f>IF(X109&lt;&gt;"",IF(X109&lt;0.9,"S","F"),"")</f>
        <v>F</v>
      </c>
    </row>
  </sheetData>
  <sortState ref="A2:Z107">
    <sortCondition ref="J2:J107"/>
    <sortCondition ref="K2:K107"/>
    <sortCondition ref="Z2:Z107"/>
    <sortCondition descending="1" ref="X2:X107"/>
  </sortState>
  <dataValidations count="1">
    <dataValidation showInputMessage="1" showErrorMessage="1" sqref="A1:A8 A11:A13 A16:A18 A21"/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6"/>
  <sheetViews>
    <sheetView workbookViewId="0">
      <pane ySplit="560" topLeftCell="A72" activePane="bottomLeft"/>
      <selection activeCell="AA1" sqref="AA1:AG1048576"/>
      <selection pane="bottomLeft" sqref="A1:D80"/>
    </sheetView>
  </sheetViews>
  <sheetFormatPr baseColWidth="10" defaultRowHeight="15" x14ac:dyDescent="0"/>
  <cols>
    <col min="10" max="10" width="12" bestFit="1" customWidth="1"/>
    <col min="11" max="11" width="33.5" bestFit="1" customWidth="1"/>
  </cols>
  <sheetData>
    <row r="1" spans="1:33">
      <c r="A1" s="34" t="s">
        <v>0</v>
      </c>
      <c r="B1" s="44" t="s">
        <v>1</v>
      </c>
      <c r="C1" s="100" t="s">
        <v>2</v>
      </c>
      <c r="D1" s="100" t="s">
        <v>3</v>
      </c>
      <c r="E1" s="44" t="s">
        <v>4</v>
      </c>
      <c r="F1" s="44" t="s">
        <v>5</v>
      </c>
      <c r="G1" s="44" t="s">
        <v>6</v>
      </c>
      <c r="H1" s="44" t="s">
        <v>7</v>
      </c>
      <c r="I1" s="44" t="s">
        <v>589</v>
      </c>
      <c r="J1" s="44" t="s">
        <v>702</v>
      </c>
      <c r="K1" s="88" t="s">
        <v>606</v>
      </c>
      <c r="L1" s="44" t="s">
        <v>8</v>
      </c>
      <c r="M1" s="44" t="s">
        <v>9</v>
      </c>
      <c r="N1" s="44" t="s">
        <v>10</v>
      </c>
      <c r="O1" s="45" t="s">
        <v>11</v>
      </c>
      <c r="P1" s="88" t="s">
        <v>789</v>
      </c>
      <c r="Q1" s="88" t="s">
        <v>790</v>
      </c>
      <c r="R1" s="88" t="s">
        <v>787</v>
      </c>
      <c r="S1" s="88" t="s">
        <v>791</v>
      </c>
      <c r="T1" s="88" t="s">
        <v>792</v>
      </c>
      <c r="U1" s="88" t="s">
        <v>539</v>
      </c>
      <c r="V1" s="88" t="s">
        <v>795</v>
      </c>
      <c r="W1" s="88" t="s">
        <v>796</v>
      </c>
      <c r="X1" s="90" t="s">
        <v>811</v>
      </c>
      <c r="Y1" s="88" t="s">
        <v>785</v>
      </c>
      <c r="Z1" s="90" t="s">
        <v>812</v>
      </c>
    </row>
    <row r="2" spans="1:33">
      <c r="A2" s="47">
        <v>144</v>
      </c>
      <c r="B2" s="74" t="s">
        <v>36</v>
      </c>
      <c r="C2" s="52">
        <v>1980</v>
      </c>
      <c r="D2" s="74" t="s">
        <v>287</v>
      </c>
      <c r="E2" s="46" t="s">
        <v>16</v>
      </c>
      <c r="F2" s="48"/>
      <c r="G2" s="48"/>
      <c r="H2" s="48"/>
      <c r="I2" s="48"/>
      <c r="J2" s="87" t="s">
        <v>594</v>
      </c>
      <c r="K2" s="48" t="s">
        <v>594</v>
      </c>
      <c r="L2" s="70" t="s">
        <v>299</v>
      </c>
      <c r="M2" s="48"/>
      <c r="N2" s="48"/>
      <c r="O2" s="48"/>
      <c r="P2" s="48"/>
      <c r="Q2" s="48"/>
      <c r="R2" s="48"/>
      <c r="S2" s="53"/>
      <c r="T2" s="53"/>
      <c r="U2" s="53"/>
      <c r="V2" s="53"/>
      <c r="W2" s="53"/>
      <c r="X2" s="134" t="str">
        <f t="shared" ref="X2:X33" si="0">IF(R2&lt;&gt;0,IF(R2&gt;1,R2/100,R2),IF(U2&lt;&gt;0,IF(U2&gt;1,U2/100,U2),""))</f>
        <v/>
      </c>
      <c r="Y2" s="180">
        <v>2.7</v>
      </c>
      <c r="Z2" s="135" t="str">
        <f t="shared" ref="Z2:Z33" si="1">IF(X2&lt;&gt;"",IF(X2&lt;0.9,"S","F"),"")</f>
        <v/>
      </c>
    </row>
    <row r="3" spans="1:33" s="95" customFormat="1">
      <c r="A3" s="197">
        <v>174</v>
      </c>
      <c r="B3" s="199" t="s">
        <v>407</v>
      </c>
      <c r="C3" s="199">
        <v>2009</v>
      </c>
      <c r="D3" s="206" t="s">
        <v>408</v>
      </c>
      <c r="E3" s="193" t="s">
        <v>16</v>
      </c>
      <c r="F3" s="213" t="s">
        <v>410</v>
      </c>
      <c r="G3" s="199" t="s">
        <v>115</v>
      </c>
      <c r="H3" s="199" t="s">
        <v>116</v>
      </c>
      <c r="I3" s="199"/>
      <c r="J3" s="194" t="s">
        <v>710</v>
      </c>
      <c r="K3" s="199" t="s">
        <v>676</v>
      </c>
      <c r="L3" s="199" t="s">
        <v>446</v>
      </c>
      <c r="M3" s="217"/>
      <c r="N3" s="217"/>
      <c r="O3" s="199" t="s">
        <v>446</v>
      </c>
      <c r="P3" s="202"/>
      <c r="Q3" s="202"/>
      <c r="R3" s="199"/>
      <c r="S3" s="200"/>
      <c r="T3" s="200"/>
      <c r="U3" s="218">
        <v>0.95699999999999996</v>
      </c>
      <c r="V3" s="200"/>
      <c r="W3" s="200"/>
      <c r="X3" s="137">
        <f t="shared" si="0"/>
        <v>0.95699999999999996</v>
      </c>
      <c r="Y3" s="224">
        <v>3.2</v>
      </c>
      <c r="Z3" s="138" t="str">
        <f t="shared" si="1"/>
        <v>F</v>
      </c>
      <c r="AA3" s="232" t="str">
        <f>+J3</f>
        <v>N conifer</v>
      </c>
      <c r="AB3" s="157" t="s">
        <v>814</v>
      </c>
      <c r="AC3" s="157" t="s">
        <v>815</v>
      </c>
      <c r="AD3" s="157" t="s">
        <v>816</v>
      </c>
      <c r="AE3" s="157" t="s">
        <v>817</v>
      </c>
      <c r="AF3" s="157" t="s">
        <v>818</v>
      </c>
      <c r="AG3" s="157" t="s">
        <v>819</v>
      </c>
    </row>
    <row r="4" spans="1:33">
      <c r="A4" s="47">
        <v>174</v>
      </c>
      <c r="B4" s="48" t="s">
        <v>407</v>
      </c>
      <c r="C4" s="48">
        <v>2009</v>
      </c>
      <c r="D4" s="74" t="s">
        <v>408</v>
      </c>
      <c r="E4" s="46" t="s">
        <v>16</v>
      </c>
      <c r="F4" s="50" t="s">
        <v>410</v>
      </c>
      <c r="G4" s="48" t="s">
        <v>435</v>
      </c>
      <c r="H4" s="48" t="s">
        <v>116</v>
      </c>
      <c r="I4" s="48"/>
      <c r="J4" s="87" t="s">
        <v>750</v>
      </c>
      <c r="K4" s="48" t="s">
        <v>600</v>
      </c>
      <c r="L4" s="48" t="s">
        <v>436</v>
      </c>
      <c r="M4" s="56"/>
      <c r="N4" s="56"/>
      <c r="O4" s="48" t="s">
        <v>436</v>
      </c>
      <c r="P4" s="52"/>
      <c r="Q4" s="52"/>
      <c r="R4" s="48"/>
      <c r="S4" s="53"/>
      <c r="T4" s="53"/>
      <c r="U4" s="54">
        <v>0.86699999999999999</v>
      </c>
      <c r="V4" s="53"/>
      <c r="W4" s="53"/>
      <c r="X4" s="134">
        <f t="shared" si="0"/>
        <v>0.86699999999999999</v>
      </c>
      <c r="Y4" s="185">
        <v>1</v>
      </c>
      <c r="Z4" s="135" t="str">
        <f t="shared" si="1"/>
        <v>S</v>
      </c>
      <c r="AA4" s="228" t="s">
        <v>813</v>
      </c>
      <c r="AB4" s="229">
        <f>+Y3</f>
        <v>3.2</v>
      </c>
      <c r="AC4" s="229"/>
      <c r="AD4" s="229"/>
      <c r="AE4" s="229"/>
      <c r="AF4" s="229"/>
      <c r="AG4" s="228">
        <f>COUNT(Y3)</f>
        <v>1</v>
      </c>
    </row>
    <row r="5" spans="1:33">
      <c r="A5" s="47">
        <v>172</v>
      </c>
      <c r="B5" s="48" t="s">
        <v>302</v>
      </c>
      <c r="C5" s="48">
        <v>2010</v>
      </c>
      <c r="D5" s="48" t="s">
        <v>303</v>
      </c>
      <c r="E5" s="46" t="s">
        <v>305</v>
      </c>
      <c r="F5" s="50">
        <v>40233</v>
      </c>
      <c r="G5" s="48" t="s">
        <v>345</v>
      </c>
      <c r="H5" s="48" t="s">
        <v>116</v>
      </c>
      <c r="I5" s="48"/>
      <c r="J5" s="87" t="s">
        <v>750</v>
      </c>
      <c r="K5" s="48" t="s">
        <v>600</v>
      </c>
      <c r="L5" s="48" t="s">
        <v>346</v>
      </c>
      <c r="M5" s="51"/>
      <c r="N5" s="51"/>
      <c r="O5" s="48"/>
      <c r="P5" s="52"/>
      <c r="Q5" s="52"/>
      <c r="R5" s="48"/>
      <c r="S5" s="53"/>
      <c r="T5" s="53"/>
      <c r="U5" s="54">
        <v>0.82699999999999996</v>
      </c>
      <c r="V5" s="55"/>
      <c r="W5" s="55"/>
      <c r="X5" s="134">
        <f t="shared" si="0"/>
        <v>0.82699999999999996</v>
      </c>
      <c r="Y5" s="184">
        <v>0.23200000000000001</v>
      </c>
      <c r="Z5" s="135" t="str">
        <f t="shared" si="1"/>
        <v>S</v>
      </c>
    </row>
    <row r="6" spans="1:33">
      <c r="A6" s="47">
        <v>174</v>
      </c>
      <c r="B6" s="48" t="s">
        <v>407</v>
      </c>
      <c r="C6" s="48">
        <v>2009</v>
      </c>
      <c r="D6" s="74" t="s">
        <v>408</v>
      </c>
      <c r="E6" s="46" t="s">
        <v>16</v>
      </c>
      <c r="F6" s="50" t="s">
        <v>410</v>
      </c>
      <c r="G6" s="48" t="s">
        <v>435</v>
      </c>
      <c r="H6" s="48" t="s">
        <v>116</v>
      </c>
      <c r="I6" s="48"/>
      <c r="J6" s="87" t="s">
        <v>750</v>
      </c>
      <c r="K6" s="48" t="s">
        <v>675</v>
      </c>
      <c r="L6" s="48" t="s">
        <v>437</v>
      </c>
      <c r="M6" s="56"/>
      <c r="N6" s="56"/>
      <c r="O6" s="48" t="s">
        <v>438</v>
      </c>
      <c r="P6" s="52"/>
      <c r="Q6" s="52"/>
      <c r="R6" s="48"/>
      <c r="S6" s="53"/>
      <c r="T6" s="53"/>
      <c r="U6" s="54">
        <v>0.91700000000000004</v>
      </c>
      <c r="V6" s="53"/>
      <c r="W6" s="53"/>
      <c r="X6" s="134">
        <f t="shared" si="0"/>
        <v>0.91700000000000004</v>
      </c>
      <c r="Y6" s="185">
        <v>1.6</v>
      </c>
      <c r="Z6" s="135" t="str">
        <f t="shared" si="1"/>
        <v>F</v>
      </c>
    </row>
    <row r="7" spans="1:33" s="95" customFormat="1">
      <c r="A7" s="197">
        <v>172</v>
      </c>
      <c r="B7" s="199" t="s">
        <v>302</v>
      </c>
      <c r="C7" s="199">
        <v>2010</v>
      </c>
      <c r="D7" s="199" t="s">
        <v>303</v>
      </c>
      <c r="E7" s="193" t="s">
        <v>305</v>
      </c>
      <c r="F7" s="213">
        <v>40228</v>
      </c>
      <c r="G7" s="199" t="s">
        <v>258</v>
      </c>
      <c r="H7" s="199" t="s">
        <v>20</v>
      </c>
      <c r="I7" s="199"/>
      <c r="J7" s="194" t="s">
        <v>591</v>
      </c>
      <c r="K7" s="199" t="s">
        <v>619</v>
      </c>
      <c r="L7" s="199" t="s">
        <v>334</v>
      </c>
      <c r="M7" s="214" t="s">
        <v>592</v>
      </c>
      <c r="N7" s="214"/>
      <c r="O7" s="199"/>
      <c r="P7" s="202"/>
      <c r="Q7" s="202"/>
      <c r="R7" s="199"/>
      <c r="S7" s="200"/>
      <c r="T7" s="200"/>
      <c r="U7" s="215">
        <v>0.93400000000000005</v>
      </c>
      <c r="V7" s="218"/>
      <c r="W7" s="218"/>
      <c r="X7" s="137">
        <f t="shared" si="0"/>
        <v>0.93400000000000005</v>
      </c>
      <c r="Y7" s="216">
        <v>1.028</v>
      </c>
      <c r="Z7" s="138" t="str">
        <f t="shared" si="1"/>
        <v>F</v>
      </c>
      <c r="AA7" s="232" t="str">
        <f>+J7</f>
        <v>SE grass</v>
      </c>
      <c r="AB7" s="157" t="s">
        <v>814</v>
      </c>
      <c r="AC7" s="157" t="s">
        <v>815</v>
      </c>
      <c r="AD7" s="157" t="s">
        <v>816</v>
      </c>
      <c r="AE7" s="157" t="s">
        <v>817</v>
      </c>
      <c r="AF7" s="157" t="s">
        <v>818</v>
      </c>
      <c r="AG7" s="157" t="s">
        <v>819</v>
      </c>
    </row>
    <row r="8" spans="1:33" s="95" customFormat="1">
      <c r="A8" s="197">
        <v>172</v>
      </c>
      <c r="B8" s="199" t="s">
        <v>302</v>
      </c>
      <c r="C8" s="199">
        <v>2010</v>
      </c>
      <c r="D8" s="199" t="s">
        <v>303</v>
      </c>
      <c r="E8" s="193" t="s">
        <v>305</v>
      </c>
      <c r="F8" s="213">
        <v>40229</v>
      </c>
      <c r="G8" s="199" t="s">
        <v>258</v>
      </c>
      <c r="H8" s="199" t="s">
        <v>20</v>
      </c>
      <c r="I8" s="199"/>
      <c r="J8" s="194" t="s">
        <v>591</v>
      </c>
      <c r="K8" s="199" t="s">
        <v>619</v>
      </c>
      <c r="L8" s="199" t="s">
        <v>335</v>
      </c>
      <c r="M8" s="214" t="s">
        <v>592</v>
      </c>
      <c r="N8" s="214"/>
      <c r="O8" s="199"/>
      <c r="P8" s="202"/>
      <c r="Q8" s="202"/>
      <c r="R8" s="199"/>
      <c r="S8" s="200"/>
      <c r="T8" s="200"/>
      <c r="U8" s="215">
        <v>0.92700000000000005</v>
      </c>
      <c r="V8" s="218"/>
      <c r="W8" s="218"/>
      <c r="X8" s="137">
        <f t="shared" si="0"/>
        <v>0.92700000000000005</v>
      </c>
      <c r="Y8" s="216">
        <v>1.2330000000000001</v>
      </c>
      <c r="Z8" s="138" t="str">
        <f t="shared" si="1"/>
        <v>F</v>
      </c>
      <c r="AA8" s="228" t="s">
        <v>813</v>
      </c>
      <c r="AB8" s="229">
        <f>AVERAGE($Y$7:$Y$8)</f>
        <v>1.1305000000000001</v>
      </c>
      <c r="AC8" s="229">
        <f>MEDIAN($Y$7:$Y$8)</f>
        <v>1.1305000000000001</v>
      </c>
      <c r="AD8" s="229">
        <f>MAX($Y$7:$Y$8)</f>
        <v>1.2330000000000001</v>
      </c>
      <c r="AE8" s="229">
        <f>MIN($Y$7:$Y$8)</f>
        <v>1.028</v>
      </c>
      <c r="AF8" s="229">
        <f>STDEV($Y$7:$Y$8)</f>
        <v>0.14495689014324228</v>
      </c>
      <c r="AG8" s="229">
        <f>COUNT($Y$7:$Y$8)</f>
        <v>2</v>
      </c>
    </row>
    <row r="9" spans="1:33">
      <c r="A9" s="47">
        <v>172</v>
      </c>
      <c r="B9" s="48" t="s">
        <v>302</v>
      </c>
      <c r="C9" s="48">
        <v>2010</v>
      </c>
      <c r="D9" s="48" t="s">
        <v>303</v>
      </c>
      <c r="E9" s="46" t="s">
        <v>305</v>
      </c>
      <c r="F9" s="50">
        <v>40231</v>
      </c>
      <c r="G9" s="48" t="s">
        <v>258</v>
      </c>
      <c r="H9" s="48" t="s">
        <v>20</v>
      </c>
      <c r="I9" s="48"/>
      <c r="J9" s="87" t="s">
        <v>604</v>
      </c>
      <c r="K9" s="48" t="s">
        <v>617</v>
      </c>
      <c r="L9" s="48" t="s">
        <v>339</v>
      </c>
      <c r="M9" s="51" t="s">
        <v>340</v>
      </c>
      <c r="N9" s="51" t="s">
        <v>341</v>
      </c>
      <c r="O9" s="48"/>
      <c r="P9" s="52"/>
      <c r="Q9" s="52"/>
      <c r="R9" s="48"/>
      <c r="S9" s="53"/>
      <c r="T9" s="53"/>
      <c r="U9" s="55">
        <v>0.95899999999999996</v>
      </c>
      <c r="V9" s="54"/>
      <c r="W9" s="54"/>
      <c r="X9" s="134">
        <f t="shared" si="0"/>
        <v>0.95899999999999996</v>
      </c>
      <c r="Y9" s="183">
        <v>0.623</v>
      </c>
      <c r="Z9" s="135" t="str">
        <f t="shared" si="1"/>
        <v>F</v>
      </c>
      <c r="AA9" s="179" t="str">
        <f>+J9</f>
        <v>SE hardwood</v>
      </c>
      <c r="AB9" s="175" t="s">
        <v>814</v>
      </c>
      <c r="AC9" s="175" t="s">
        <v>815</v>
      </c>
      <c r="AD9" s="175" t="s">
        <v>816</v>
      </c>
      <c r="AE9" s="175" t="s">
        <v>817</v>
      </c>
      <c r="AF9" s="175" t="s">
        <v>818</v>
      </c>
      <c r="AG9" s="175" t="s">
        <v>819</v>
      </c>
    </row>
    <row r="10" spans="1:33">
      <c r="A10" s="47">
        <v>172</v>
      </c>
      <c r="B10" s="48" t="s">
        <v>302</v>
      </c>
      <c r="C10" s="48">
        <v>2010</v>
      </c>
      <c r="D10" s="48" t="s">
        <v>303</v>
      </c>
      <c r="E10" s="46" t="s">
        <v>305</v>
      </c>
      <c r="F10" s="50">
        <v>40232</v>
      </c>
      <c r="G10" s="48" t="s">
        <v>258</v>
      </c>
      <c r="H10" s="48" t="s">
        <v>20</v>
      </c>
      <c r="I10" s="48"/>
      <c r="J10" s="87" t="s">
        <v>604</v>
      </c>
      <c r="K10" s="48" t="s">
        <v>618</v>
      </c>
      <c r="L10" s="48" t="s">
        <v>342</v>
      </c>
      <c r="M10" s="51" t="s">
        <v>343</v>
      </c>
      <c r="N10" s="51" t="s">
        <v>344</v>
      </c>
      <c r="O10" s="48"/>
      <c r="P10" s="52"/>
      <c r="Q10" s="52"/>
      <c r="R10" s="48"/>
      <c r="S10" s="53"/>
      <c r="T10" s="53"/>
      <c r="U10" s="55">
        <v>0.95399999999999996</v>
      </c>
      <c r="V10" s="54"/>
      <c r="W10" s="54"/>
      <c r="X10" s="134">
        <f t="shared" si="0"/>
        <v>0.95399999999999996</v>
      </c>
      <c r="Y10" s="183">
        <v>0.88600000000000001</v>
      </c>
      <c r="Z10" s="135" t="str">
        <f t="shared" si="1"/>
        <v>F</v>
      </c>
      <c r="AA10" s="175" t="s">
        <v>813</v>
      </c>
      <c r="AB10" s="176">
        <f>AVERAGE($Y$9:$Y$10)</f>
        <v>0.75449999999999995</v>
      </c>
      <c r="AC10" s="176">
        <f>MEDIAN($Y$9:$Y$10)</f>
        <v>0.75449999999999995</v>
      </c>
      <c r="AD10" s="176">
        <f>MAX($Y$9:$Y$10)</f>
        <v>0.88600000000000001</v>
      </c>
      <c r="AE10" s="176">
        <f>MIN($Y$9:$Y$10)</f>
        <v>0.623</v>
      </c>
      <c r="AF10" s="176">
        <f>STDEV($Y$9:$Y$10)</f>
        <v>0.18596908345206203</v>
      </c>
      <c r="AG10" s="231">
        <f>COUNT($Y$9:$Y$10)</f>
        <v>2</v>
      </c>
    </row>
    <row r="11" spans="1:33" s="95" customFormat="1">
      <c r="A11" s="197">
        <v>173</v>
      </c>
      <c r="B11" s="199" t="s">
        <v>302</v>
      </c>
      <c r="C11" s="199">
        <v>2011</v>
      </c>
      <c r="D11" s="206" t="s">
        <v>352</v>
      </c>
      <c r="E11" s="193" t="s">
        <v>354</v>
      </c>
      <c r="F11" s="213" t="s">
        <v>355</v>
      </c>
      <c r="G11" s="199" t="s">
        <v>258</v>
      </c>
      <c r="H11" s="199" t="s">
        <v>20</v>
      </c>
      <c r="I11" s="199"/>
      <c r="J11" s="194" t="s">
        <v>703</v>
      </c>
      <c r="K11" s="199" t="s">
        <v>620</v>
      </c>
      <c r="L11" s="199" t="s">
        <v>356</v>
      </c>
      <c r="M11" s="217"/>
      <c r="N11" s="217"/>
      <c r="O11" s="199" t="s">
        <v>357</v>
      </c>
      <c r="P11" s="202"/>
      <c r="Q11" s="202"/>
      <c r="R11" s="199"/>
      <c r="S11" s="200"/>
      <c r="T11" s="200"/>
      <c r="U11" s="218">
        <v>0.94299999999999995</v>
      </c>
      <c r="V11" s="200"/>
      <c r="W11" s="200"/>
      <c r="X11" s="137">
        <f t="shared" si="0"/>
        <v>0.94299999999999995</v>
      </c>
      <c r="Y11" s="201">
        <v>3.3</v>
      </c>
      <c r="Z11" s="138" t="str">
        <f t="shared" si="1"/>
        <v>F</v>
      </c>
      <c r="AA11" s="232" t="str">
        <f>+J11</f>
        <v>SE pine</v>
      </c>
      <c r="AB11" s="157" t="s">
        <v>814</v>
      </c>
      <c r="AC11" s="157" t="s">
        <v>815</v>
      </c>
      <c r="AD11" s="157" t="s">
        <v>816</v>
      </c>
      <c r="AE11" s="157" t="s">
        <v>817</v>
      </c>
      <c r="AF11" s="157" t="s">
        <v>818</v>
      </c>
      <c r="AG11" s="157" t="s">
        <v>819</v>
      </c>
    </row>
    <row r="12" spans="1:33" s="95" customFormat="1">
      <c r="A12" s="197">
        <v>173</v>
      </c>
      <c r="B12" s="199" t="s">
        <v>302</v>
      </c>
      <c r="C12" s="199">
        <v>2011</v>
      </c>
      <c r="D12" s="206" t="s">
        <v>352</v>
      </c>
      <c r="E12" s="193" t="s">
        <v>354</v>
      </c>
      <c r="F12" s="213" t="s">
        <v>358</v>
      </c>
      <c r="G12" s="199" t="s">
        <v>359</v>
      </c>
      <c r="H12" s="199" t="s">
        <v>20</v>
      </c>
      <c r="I12" s="199"/>
      <c r="J12" s="194" t="s">
        <v>703</v>
      </c>
      <c r="K12" s="199" t="s">
        <v>622</v>
      </c>
      <c r="L12" s="199" t="s">
        <v>360</v>
      </c>
      <c r="M12" s="217"/>
      <c r="N12" s="217"/>
      <c r="O12" s="199" t="s">
        <v>361</v>
      </c>
      <c r="P12" s="202"/>
      <c r="Q12" s="202"/>
      <c r="R12" s="199"/>
      <c r="S12" s="200"/>
      <c r="T12" s="200"/>
      <c r="U12" s="218">
        <v>0.95099999999999996</v>
      </c>
      <c r="V12" s="200"/>
      <c r="W12" s="200"/>
      <c r="X12" s="137">
        <f t="shared" si="0"/>
        <v>0.95099999999999996</v>
      </c>
      <c r="Y12" s="201">
        <v>2.46</v>
      </c>
      <c r="Z12" s="138" t="str">
        <f t="shared" si="1"/>
        <v>F</v>
      </c>
      <c r="AA12" s="228" t="s">
        <v>813</v>
      </c>
      <c r="AB12" s="229">
        <f>AVERAGE($Y$11:$Y$29)</f>
        <v>1.3237894736842104</v>
      </c>
      <c r="AC12" s="229">
        <f>MEDIAN($Y$11:$Y$29)</f>
        <v>1.3</v>
      </c>
      <c r="AD12" s="229">
        <f>MAX($Y$11:$Y$29)</f>
        <v>3.3</v>
      </c>
      <c r="AE12" s="229">
        <f>MIN($Y$11:$Y$29)</f>
        <v>0.06</v>
      </c>
      <c r="AF12" s="229">
        <f>STDEV($Y$11:$Y$29)</f>
        <v>0.98101056619903559</v>
      </c>
      <c r="AG12" s="230">
        <f>COUNT($Y$11:$Y$29)</f>
        <v>19</v>
      </c>
    </row>
    <row r="13" spans="1:33" s="95" customFormat="1">
      <c r="A13" s="197">
        <v>172</v>
      </c>
      <c r="B13" s="199" t="s">
        <v>302</v>
      </c>
      <c r="C13" s="199">
        <v>2010</v>
      </c>
      <c r="D13" s="199" t="s">
        <v>303</v>
      </c>
      <c r="E13" s="193" t="s">
        <v>305</v>
      </c>
      <c r="F13" s="213">
        <v>40227</v>
      </c>
      <c r="G13" s="199" t="s">
        <v>332</v>
      </c>
      <c r="H13" s="199" t="s">
        <v>18</v>
      </c>
      <c r="I13" s="199"/>
      <c r="J13" s="194" t="s">
        <v>703</v>
      </c>
      <c r="K13" s="194" t="s">
        <v>627</v>
      </c>
      <c r="L13" s="199" t="s">
        <v>333</v>
      </c>
      <c r="M13" s="214"/>
      <c r="N13" s="214"/>
      <c r="O13" s="199"/>
      <c r="P13" s="202"/>
      <c r="Q13" s="202"/>
      <c r="R13" s="199"/>
      <c r="S13" s="200"/>
      <c r="T13" s="200"/>
      <c r="U13" s="215">
        <v>0.89400000000000002</v>
      </c>
      <c r="V13" s="218"/>
      <c r="W13" s="218"/>
      <c r="X13" s="137">
        <f t="shared" si="0"/>
        <v>0.89400000000000002</v>
      </c>
      <c r="Y13" s="216">
        <v>0.93200000000000005</v>
      </c>
      <c r="Z13" s="138" t="str">
        <f t="shared" si="1"/>
        <v>S</v>
      </c>
    </row>
    <row r="14" spans="1:33" s="95" customFormat="1">
      <c r="A14" s="194"/>
      <c r="B14" s="194" t="s">
        <v>552</v>
      </c>
      <c r="C14" s="194">
        <v>2011</v>
      </c>
      <c r="D14" s="194"/>
      <c r="E14" s="193" t="s">
        <v>56</v>
      </c>
      <c r="F14" s="194"/>
      <c r="G14" s="194"/>
      <c r="H14" s="194" t="s">
        <v>553</v>
      </c>
      <c r="I14" s="194"/>
      <c r="J14" s="194" t="s">
        <v>703</v>
      </c>
      <c r="K14" s="199" t="s">
        <v>647</v>
      </c>
      <c r="L14" s="190" t="s">
        <v>575</v>
      </c>
      <c r="M14" s="194"/>
      <c r="N14" s="194"/>
      <c r="O14" s="194" t="s">
        <v>557</v>
      </c>
      <c r="P14" s="194"/>
      <c r="Q14" s="194"/>
      <c r="R14" s="194"/>
      <c r="S14" s="219"/>
      <c r="T14" s="219"/>
      <c r="U14" s="219">
        <v>0.90400000000000003</v>
      </c>
      <c r="V14" s="219"/>
      <c r="W14" s="219"/>
      <c r="X14" s="137">
        <f t="shared" si="0"/>
        <v>0.90400000000000003</v>
      </c>
      <c r="Y14" s="219">
        <v>1.89</v>
      </c>
      <c r="Z14" s="138" t="str">
        <f t="shared" si="1"/>
        <v>F</v>
      </c>
    </row>
    <row r="15" spans="1:33" s="95" customFormat="1">
      <c r="A15" s="197">
        <v>144</v>
      </c>
      <c r="B15" s="206" t="s">
        <v>36</v>
      </c>
      <c r="C15" s="202">
        <v>1980</v>
      </c>
      <c r="D15" s="206" t="s">
        <v>287</v>
      </c>
      <c r="E15" s="193" t="s">
        <v>16</v>
      </c>
      <c r="F15" s="199"/>
      <c r="G15" s="199"/>
      <c r="H15" s="199"/>
      <c r="I15" s="199"/>
      <c r="J15" s="194" t="s">
        <v>703</v>
      </c>
      <c r="K15" s="199" t="s">
        <v>699</v>
      </c>
      <c r="L15" s="220" t="s">
        <v>297</v>
      </c>
      <c r="M15" s="199"/>
      <c r="N15" s="199"/>
      <c r="O15" s="199"/>
      <c r="P15" s="199"/>
      <c r="Q15" s="199"/>
      <c r="R15" s="199"/>
      <c r="S15" s="200"/>
      <c r="T15" s="200"/>
      <c r="U15" s="200"/>
      <c r="V15" s="200"/>
      <c r="W15" s="200"/>
      <c r="X15" s="137" t="str">
        <f t="shared" si="0"/>
        <v/>
      </c>
      <c r="Y15" s="201">
        <v>0.45</v>
      </c>
      <c r="Z15" s="138" t="str">
        <f t="shared" si="1"/>
        <v/>
      </c>
    </row>
    <row r="16" spans="1:33" s="95" customFormat="1">
      <c r="A16" s="194"/>
      <c r="B16" s="194" t="s">
        <v>552</v>
      </c>
      <c r="C16" s="194">
        <v>2011</v>
      </c>
      <c r="D16" s="194"/>
      <c r="E16" s="193" t="s">
        <v>56</v>
      </c>
      <c r="F16" s="194"/>
      <c r="G16" s="194"/>
      <c r="H16" s="194" t="s">
        <v>553</v>
      </c>
      <c r="I16" s="194"/>
      <c r="J16" s="194" t="s">
        <v>703</v>
      </c>
      <c r="K16" s="194" t="s">
        <v>610</v>
      </c>
      <c r="L16" s="190" t="s">
        <v>578</v>
      </c>
      <c r="M16" s="194"/>
      <c r="N16" s="194"/>
      <c r="O16" s="194" t="s">
        <v>560</v>
      </c>
      <c r="P16" s="194"/>
      <c r="Q16" s="194"/>
      <c r="R16" s="194"/>
      <c r="S16" s="219"/>
      <c r="T16" s="219"/>
      <c r="U16" s="219">
        <v>0.95699999999999996</v>
      </c>
      <c r="V16" s="219"/>
      <c r="W16" s="219"/>
      <c r="X16" s="137">
        <f t="shared" si="0"/>
        <v>0.95699999999999996</v>
      </c>
      <c r="Y16" s="219">
        <v>1.83</v>
      </c>
      <c r="Z16" s="138" t="str">
        <f t="shared" si="1"/>
        <v>F</v>
      </c>
    </row>
    <row r="17" spans="1:33" s="95" customFormat="1">
      <c r="A17" s="197">
        <v>174</v>
      </c>
      <c r="B17" s="199" t="s">
        <v>407</v>
      </c>
      <c r="C17" s="199">
        <v>2009</v>
      </c>
      <c r="D17" s="206" t="s">
        <v>408</v>
      </c>
      <c r="E17" s="193" t="s">
        <v>16</v>
      </c>
      <c r="F17" s="213" t="s">
        <v>410</v>
      </c>
      <c r="G17" s="199" t="s">
        <v>417</v>
      </c>
      <c r="H17" s="199" t="s">
        <v>417</v>
      </c>
      <c r="I17" s="199"/>
      <c r="J17" s="194" t="s">
        <v>703</v>
      </c>
      <c r="K17" s="199" t="s">
        <v>610</v>
      </c>
      <c r="L17" s="199" t="s">
        <v>418</v>
      </c>
      <c r="M17" s="217"/>
      <c r="N17" s="217"/>
      <c r="O17" s="199" t="s">
        <v>418</v>
      </c>
      <c r="P17" s="202"/>
      <c r="Q17" s="202"/>
      <c r="R17" s="199"/>
      <c r="S17" s="200"/>
      <c r="T17" s="200"/>
      <c r="U17" s="218">
        <v>0.94399999999999995</v>
      </c>
      <c r="V17" s="200"/>
      <c r="W17" s="200"/>
      <c r="X17" s="137">
        <f t="shared" si="0"/>
        <v>0.94399999999999995</v>
      </c>
      <c r="Y17" s="224">
        <v>1.3</v>
      </c>
      <c r="Z17" s="138" t="str">
        <f t="shared" si="1"/>
        <v>F</v>
      </c>
    </row>
    <row r="18" spans="1:33" s="95" customFormat="1">
      <c r="A18" s="194"/>
      <c r="B18" s="194" t="s">
        <v>552</v>
      </c>
      <c r="C18" s="194">
        <v>2011</v>
      </c>
      <c r="D18" s="194"/>
      <c r="E18" s="193" t="s">
        <v>56</v>
      </c>
      <c r="F18" s="194"/>
      <c r="G18" s="194"/>
      <c r="H18" s="194" t="s">
        <v>553</v>
      </c>
      <c r="I18" s="194"/>
      <c r="J18" s="194" t="s">
        <v>703</v>
      </c>
      <c r="K18" s="194" t="s">
        <v>610</v>
      </c>
      <c r="L18" s="190" t="s">
        <v>418</v>
      </c>
      <c r="M18" s="194"/>
      <c r="N18" s="194" t="s">
        <v>574</v>
      </c>
      <c r="O18" s="194" t="s">
        <v>556</v>
      </c>
      <c r="P18" s="194"/>
      <c r="Q18" s="194"/>
      <c r="R18" s="194"/>
      <c r="S18" s="219"/>
      <c r="T18" s="219"/>
      <c r="U18" s="219">
        <v>0.93500000000000005</v>
      </c>
      <c r="V18" s="219"/>
      <c r="W18" s="219"/>
      <c r="X18" s="137">
        <f t="shared" si="0"/>
        <v>0.93500000000000005</v>
      </c>
      <c r="Y18" s="219">
        <v>1.58</v>
      </c>
      <c r="Z18" s="138" t="str">
        <f t="shared" si="1"/>
        <v>F</v>
      </c>
    </row>
    <row r="19" spans="1:33" s="95" customFormat="1">
      <c r="A19" s="194"/>
      <c r="B19" s="194" t="s">
        <v>552</v>
      </c>
      <c r="C19" s="194">
        <v>2011</v>
      </c>
      <c r="D19" s="194"/>
      <c r="E19" s="193" t="s">
        <v>56</v>
      </c>
      <c r="F19" s="194"/>
      <c r="G19" s="194"/>
      <c r="H19" s="194" t="s">
        <v>553</v>
      </c>
      <c r="I19" s="194"/>
      <c r="J19" s="194" t="s">
        <v>703</v>
      </c>
      <c r="K19" s="194" t="s">
        <v>610</v>
      </c>
      <c r="L19" s="190" t="s">
        <v>418</v>
      </c>
      <c r="M19" s="194"/>
      <c r="N19" s="194" t="s">
        <v>577</v>
      </c>
      <c r="O19" s="194" t="s">
        <v>559</v>
      </c>
      <c r="P19" s="194"/>
      <c r="Q19" s="194"/>
      <c r="R19" s="194"/>
      <c r="S19" s="219"/>
      <c r="T19" s="219"/>
      <c r="U19" s="219">
        <v>0.93300000000000005</v>
      </c>
      <c r="V19" s="219"/>
      <c r="W19" s="219"/>
      <c r="X19" s="137">
        <f t="shared" si="0"/>
        <v>0.93300000000000005</v>
      </c>
      <c r="Y19" s="219">
        <v>1.52</v>
      </c>
      <c r="Z19" s="138" t="str">
        <f t="shared" si="1"/>
        <v>F</v>
      </c>
    </row>
    <row r="20" spans="1:33" s="95" customFormat="1">
      <c r="A20" s="194"/>
      <c r="B20" s="194" t="s">
        <v>552</v>
      </c>
      <c r="C20" s="194">
        <v>2011</v>
      </c>
      <c r="D20" s="194"/>
      <c r="E20" s="193" t="s">
        <v>56</v>
      </c>
      <c r="F20" s="194"/>
      <c r="G20" s="194"/>
      <c r="H20" s="194" t="s">
        <v>553</v>
      </c>
      <c r="I20" s="194"/>
      <c r="J20" s="194" t="s">
        <v>703</v>
      </c>
      <c r="K20" s="194" t="s">
        <v>610</v>
      </c>
      <c r="L20" s="190" t="s">
        <v>418</v>
      </c>
      <c r="M20" s="194"/>
      <c r="N20" s="194"/>
      <c r="O20" s="194" t="s">
        <v>554</v>
      </c>
      <c r="P20" s="194"/>
      <c r="Q20" s="194"/>
      <c r="R20" s="194"/>
      <c r="S20" s="219"/>
      <c r="T20" s="219"/>
      <c r="U20" s="219">
        <v>0.93200000000000005</v>
      </c>
      <c r="V20" s="219"/>
      <c r="W20" s="219"/>
      <c r="X20" s="137">
        <f t="shared" si="0"/>
        <v>0.93200000000000005</v>
      </c>
      <c r="Y20" s="219">
        <v>2.21</v>
      </c>
      <c r="Z20" s="138" t="str">
        <f t="shared" si="1"/>
        <v>F</v>
      </c>
    </row>
    <row r="21" spans="1:33" s="95" customFormat="1">
      <c r="A21" s="194"/>
      <c r="B21" s="194" t="s">
        <v>552</v>
      </c>
      <c r="C21" s="194">
        <v>2011</v>
      </c>
      <c r="D21" s="194"/>
      <c r="E21" s="193" t="s">
        <v>56</v>
      </c>
      <c r="F21" s="194"/>
      <c r="G21" s="194"/>
      <c r="H21" s="194" t="s">
        <v>553</v>
      </c>
      <c r="I21" s="194"/>
      <c r="J21" s="194" t="s">
        <v>703</v>
      </c>
      <c r="K21" s="194" t="s">
        <v>610</v>
      </c>
      <c r="L21" s="190" t="s">
        <v>418</v>
      </c>
      <c r="M21" s="194"/>
      <c r="N21" s="194" t="s">
        <v>573</v>
      </c>
      <c r="O21" s="194" t="s">
        <v>555</v>
      </c>
      <c r="P21" s="194"/>
      <c r="Q21" s="194"/>
      <c r="R21" s="194"/>
      <c r="S21" s="219"/>
      <c r="T21" s="219"/>
      <c r="U21" s="219">
        <v>0.91900000000000004</v>
      </c>
      <c r="V21" s="219"/>
      <c r="W21" s="219"/>
      <c r="X21" s="137">
        <f t="shared" si="0"/>
        <v>0.91900000000000004</v>
      </c>
      <c r="Y21" s="219">
        <v>1.3</v>
      </c>
      <c r="Z21" s="138" t="str">
        <f t="shared" si="1"/>
        <v>F</v>
      </c>
    </row>
    <row r="22" spans="1:33" s="95" customFormat="1">
      <c r="A22" s="197">
        <v>174</v>
      </c>
      <c r="B22" s="199" t="s">
        <v>407</v>
      </c>
      <c r="C22" s="199">
        <v>2009</v>
      </c>
      <c r="D22" s="206" t="s">
        <v>408</v>
      </c>
      <c r="E22" s="193" t="s">
        <v>16</v>
      </c>
      <c r="F22" s="213" t="s">
        <v>410</v>
      </c>
      <c r="G22" s="199"/>
      <c r="H22" s="199"/>
      <c r="I22" s="199"/>
      <c r="J22" s="194" t="s">
        <v>703</v>
      </c>
      <c r="K22" s="199" t="s">
        <v>645</v>
      </c>
      <c r="L22" s="199" t="s">
        <v>428</v>
      </c>
      <c r="M22" s="217"/>
      <c r="N22" s="217"/>
      <c r="O22" s="199" t="s">
        <v>429</v>
      </c>
      <c r="P22" s="202"/>
      <c r="Q22" s="202"/>
      <c r="R22" s="199"/>
      <c r="S22" s="200"/>
      <c r="T22" s="200"/>
      <c r="U22" s="218">
        <v>0.93</v>
      </c>
      <c r="V22" s="200"/>
      <c r="W22" s="200"/>
      <c r="X22" s="137">
        <f t="shared" si="0"/>
        <v>0.93</v>
      </c>
      <c r="Y22" s="224">
        <v>0.7</v>
      </c>
      <c r="Z22" s="138" t="str">
        <f t="shared" si="1"/>
        <v>F</v>
      </c>
    </row>
    <row r="23" spans="1:33" s="95" customFormat="1">
      <c r="A23" s="197">
        <v>173</v>
      </c>
      <c r="B23" s="199" t="s">
        <v>302</v>
      </c>
      <c r="C23" s="199">
        <v>2011</v>
      </c>
      <c r="D23" s="206" t="s">
        <v>352</v>
      </c>
      <c r="E23" s="193" t="s">
        <v>354</v>
      </c>
      <c r="F23" s="213" t="s">
        <v>366</v>
      </c>
      <c r="G23" s="199" t="s">
        <v>258</v>
      </c>
      <c r="H23" s="199" t="s">
        <v>20</v>
      </c>
      <c r="I23" s="199"/>
      <c r="J23" s="194" t="s">
        <v>703</v>
      </c>
      <c r="K23" s="199" t="s">
        <v>621</v>
      </c>
      <c r="L23" s="199" t="s">
        <v>367</v>
      </c>
      <c r="M23" s="217"/>
      <c r="N23" s="217"/>
      <c r="O23" s="199" t="s">
        <v>368</v>
      </c>
      <c r="P23" s="202"/>
      <c r="Q23" s="202"/>
      <c r="R23" s="199"/>
      <c r="S23" s="200"/>
      <c r="T23" s="200"/>
      <c r="U23" s="218">
        <v>0.94499999999999995</v>
      </c>
      <c r="V23" s="200"/>
      <c r="W23" s="200"/>
      <c r="X23" s="137">
        <f t="shared" si="0"/>
        <v>0.94499999999999995</v>
      </c>
      <c r="Y23" s="201">
        <v>2.3199999999999998</v>
      </c>
      <c r="Z23" s="138" t="str">
        <f t="shared" si="1"/>
        <v>F</v>
      </c>
    </row>
    <row r="24" spans="1:33" s="95" customFormat="1">
      <c r="A24" s="197">
        <v>144</v>
      </c>
      <c r="B24" s="206" t="s">
        <v>36</v>
      </c>
      <c r="C24" s="202">
        <v>1980</v>
      </c>
      <c r="D24" s="206" t="s">
        <v>287</v>
      </c>
      <c r="E24" s="193" t="s">
        <v>16</v>
      </c>
      <c r="F24" s="199"/>
      <c r="G24" s="199"/>
      <c r="H24" s="199"/>
      <c r="I24" s="199"/>
      <c r="J24" s="194" t="s">
        <v>703</v>
      </c>
      <c r="K24" s="199" t="s">
        <v>695</v>
      </c>
      <c r="L24" s="220" t="s">
        <v>290</v>
      </c>
      <c r="M24" s="199"/>
      <c r="N24" s="199"/>
      <c r="O24" s="199"/>
      <c r="P24" s="199"/>
      <c r="Q24" s="199"/>
      <c r="R24" s="199"/>
      <c r="S24" s="200"/>
      <c r="T24" s="200"/>
      <c r="U24" s="200"/>
      <c r="V24" s="200"/>
      <c r="W24" s="200"/>
      <c r="X24" s="137" t="str">
        <f t="shared" si="0"/>
        <v/>
      </c>
      <c r="Y24" s="201">
        <v>0.06</v>
      </c>
      <c r="Z24" s="138" t="str">
        <f t="shared" si="1"/>
        <v/>
      </c>
    </row>
    <row r="25" spans="1:33" s="95" customFormat="1">
      <c r="A25" s="197">
        <v>144</v>
      </c>
      <c r="B25" s="206" t="s">
        <v>36</v>
      </c>
      <c r="C25" s="202">
        <v>1980</v>
      </c>
      <c r="D25" s="206" t="s">
        <v>287</v>
      </c>
      <c r="E25" s="193" t="s">
        <v>16</v>
      </c>
      <c r="F25" s="199"/>
      <c r="G25" s="199"/>
      <c r="H25" s="199"/>
      <c r="I25" s="199"/>
      <c r="J25" s="194" t="s">
        <v>703</v>
      </c>
      <c r="K25" s="199" t="s">
        <v>697</v>
      </c>
      <c r="L25" s="220" t="s">
        <v>291</v>
      </c>
      <c r="M25" s="199"/>
      <c r="N25" s="199"/>
      <c r="O25" s="199"/>
      <c r="P25" s="199"/>
      <c r="Q25" s="199"/>
      <c r="R25" s="199"/>
      <c r="S25" s="200"/>
      <c r="T25" s="200"/>
      <c r="U25" s="200"/>
      <c r="V25" s="200"/>
      <c r="W25" s="200"/>
      <c r="X25" s="137" t="str">
        <f t="shared" si="0"/>
        <v/>
      </c>
      <c r="Y25" s="201">
        <v>0.17</v>
      </c>
      <c r="Z25" s="138" t="str">
        <f t="shared" si="1"/>
        <v/>
      </c>
    </row>
    <row r="26" spans="1:33" s="95" customFormat="1">
      <c r="A26" s="197">
        <v>144</v>
      </c>
      <c r="B26" s="206" t="s">
        <v>36</v>
      </c>
      <c r="C26" s="202">
        <v>1980</v>
      </c>
      <c r="D26" s="206" t="s">
        <v>287</v>
      </c>
      <c r="E26" s="193" t="s">
        <v>16</v>
      </c>
      <c r="F26" s="199"/>
      <c r="G26" s="199"/>
      <c r="H26" s="199"/>
      <c r="I26" s="199"/>
      <c r="J26" s="194" t="s">
        <v>703</v>
      </c>
      <c r="K26" s="199" t="s">
        <v>698</v>
      </c>
      <c r="L26" s="220" t="s">
        <v>293</v>
      </c>
      <c r="M26" s="199"/>
      <c r="N26" s="199"/>
      <c r="O26" s="199"/>
      <c r="P26" s="199"/>
      <c r="Q26" s="199"/>
      <c r="R26" s="199"/>
      <c r="S26" s="200"/>
      <c r="T26" s="200"/>
      <c r="U26" s="200"/>
      <c r="V26" s="200"/>
      <c r="W26" s="200"/>
      <c r="X26" s="137" t="str">
        <f t="shared" si="0"/>
        <v/>
      </c>
      <c r="Y26" s="201">
        <v>0.36</v>
      </c>
      <c r="Z26" s="138" t="str">
        <f t="shared" si="1"/>
        <v/>
      </c>
    </row>
    <row r="27" spans="1:33" s="95" customFormat="1">
      <c r="A27" s="197">
        <v>144</v>
      </c>
      <c r="B27" s="206" t="s">
        <v>36</v>
      </c>
      <c r="C27" s="202">
        <v>1980</v>
      </c>
      <c r="D27" s="206" t="s">
        <v>287</v>
      </c>
      <c r="E27" s="193" t="s">
        <v>16</v>
      </c>
      <c r="F27" s="199"/>
      <c r="G27" s="199"/>
      <c r="H27" s="199"/>
      <c r="I27" s="199"/>
      <c r="J27" s="194" t="s">
        <v>703</v>
      </c>
      <c r="K27" s="199" t="s">
        <v>696</v>
      </c>
      <c r="L27" s="220" t="s">
        <v>292</v>
      </c>
      <c r="M27" s="199"/>
      <c r="N27" s="199"/>
      <c r="O27" s="199"/>
      <c r="P27" s="199"/>
      <c r="Q27" s="199"/>
      <c r="R27" s="199"/>
      <c r="S27" s="200"/>
      <c r="T27" s="200"/>
      <c r="U27" s="200"/>
      <c r="V27" s="200"/>
      <c r="W27" s="200"/>
      <c r="X27" s="137" t="str">
        <f t="shared" si="0"/>
        <v/>
      </c>
      <c r="Y27" s="201">
        <v>0.15</v>
      </c>
      <c r="Z27" s="138" t="str">
        <f t="shared" si="1"/>
        <v/>
      </c>
    </row>
    <row r="28" spans="1:33" s="95" customFormat="1">
      <c r="A28" s="197">
        <v>144</v>
      </c>
      <c r="B28" s="202" t="s">
        <v>36</v>
      </c>
      <c r="C28" s="202">
        <v>1980</v>
      </c>
      <c r="D28" s="202" t="s">
        <v>287</v>
      </c>
      <c r="E28" s="193" t="s">
        <v>16</v>
      </c>
      <c r="F28" s="199"/>
      <c r="G28" s="199"/>
      <c r="H28" s="199"/>
      <c r="I28" s="199"/>
      <c r="J28" s="194" t="s">
        <v>703</v>
      </c>
      <c r="K28" s="199" t="s">
        <v>694</v>
      </c>
      <c r="L28" s="220" t="s">
        <v>289</v>
      </c>
      <c r="M28" s="199"/>
      <c r="N28" s="199"/>
      <c r="O28" s="199"/>
      <c r="P28" s="199"/>
      <c r="Q28" s="199"/>
      <c r="R28" s="199"/>
      <c r="S28" s="200"/>
      <c r="T28" s="200"/>
      <c r="U28" s="200"/>
      <c r="V28" s="200"/>
      <c r="W28" s="200"/>
      <c r="X28" s="137" t="str">
        <f t="shared" si="0"/>
        <v/>
      </c>
      <c r="Y28" s="201">
        <v>0.06</v>
      </c>
      <c r="Z28" s="138" t="str">
        <f t="shared" si="1"/>
        <v/>
      </c>
    </row>
    <row r="29" spans="1:33" s="95" customFormat="1">
      <c r="A29" s="197">
        <v>173</v>
      </c>
      <c r="B29" s="199" t="s">
        <v>302</v>
      </c>
      <c r="C29" s="199">
        <v>2011</v>
      </c>
      <c r="D29" s="206" t="s">
        <v>352</v>
      </c>
      <c r="E29" s="193" t="s">
        <v>354</v>
      </c>
      <c r="F29" s="213" t="s">
        <v>358</v>
      </c>
      <c r="G29" s="199" t="s">
        <v>359</v>
      </c>
      <c r="H29" s="199" t="s">
        <v>20</v>
      </c>
      <c r="I29" s="199"/>
      <c r="J29" s="194" t="s">
        <v>703</v>
      </c>
      <c r="K29" s="199" t="s">
        <v>615</v>
      </c>
      <c r="L29" s="199" t="s">
        <v>356</v>
      </c>
      <c r="M29" s="217"/>
      <c r="N29" s="217"/>
      <c r="O29" s="199" t="s">
        <v>362</v>
      </c>
      <c r="P29" s="202"/>
      <c r="Q29" s="202"/>
      <c r="R29" s="199"/>
      <c r="S29" s="200"/>
      <c r="T29" s="200"/>
      <c r="U29" s="218">
        <v>0.95699999999999996</v>
      </c>
      <c r="V29" s="200"/>
      <c r="W29" s="200"/>
      <c r="X29" s="137">
        <f t="shared" si="0"/>
        <v>0.95699999999999996</v>
      </c>
      <c r="Y29" s="201">
        <v>2.56</v>
      </c>
      <c r="Z29" s="138" t="str">
        <f t="shared" si="1"/>
        <v>F</v>
      </c>
    </row>
    <row r="30" spans="1:33">
      <c r="A30" s="47">
        <v>144</v>
      </c>
      <c r="B30" s="74" t="s">
        <v>36</v>
      </c>
      <c r="C30" s="52">
        <v>1980</v>
      </c>
      <c r="D30" s="74" t="s">
        <v>287</v>
      </c>
      <c r="E30" s="46" t="s">
        <v>16</v>
      </c>
      <c r="F30" s="48"/>
      <c r="G30" s="48"/>
      <c r="H30" s="48"/>
      <c r="I30" s="48"/>
      <c r="J30" s="87" t="s">
        <v>593</v>
      </c>
      <c r="K30" s="48" t="s">
        <v>711</v>
      </c>
      <c r="L30" s="70" t="s">
        <v>298</v>
      </c>
      <c r="M30" s="48"/>
      <c r="N30" s="48"/>
      <c r="O30" s="48"/>
      <c r="P30" s="48"/>
      <c r="Q30" s="48"/>
      <c r="R30" s="48"/>
      <c r="S30" s="53"/>
      <c r="T30" s="53"/>
      <c r="U30" s="53"/>
      <c r="V30" s="53"/>
      <c r="W30" s="53"/>
      <c r="X30" s="134" t="str">
        <f t="shared" si="0"/>
        <v/>
      </c>
      <c r="Y30" s="180">
        <v>0.93</v>
      </c>
      <c r="Z30" s="135" t="str">
        <f t="shared" si="1"/>
        <v/>
      </c>
      <c r="AA30" s="179" t="str">
        <f>+J30</f>
        <v>SE shrub</v>
      </c>
      <c r="AB30" s="175" t="s">
        <v>814</v>
      </c>
      <c r="AC30" s="175" t="s">
        <v>815</v>
      </c>
      <c r="AD30" s="175" t="s">
        <v>816</v>
      </c>
      <c r="AE30" s="175" t="s">
        <v>817</v>
      </c>
      <c r="AF30" s="175" t="s">
        <v>818</v>
      </c>
      <c r="AG30" s="175" t="s">
        <v>819</v>
      </c>
    </row>
    <row r="31" spans="1:33">
      <c r="A31" s="47">
        <v>174</v>
      </c>
      <c r="B31" s="48" t="s">
        <v>407</v>
      </c>
      <c r="C31" s="48">
        <v>2009</v>
      </c>
      <c r="D31" s="74" t="s">
        <v>408</v>
      </c>
      <c r="E31" s="46" t="s">
        <v>16</v>
      </c>
      <c r="F31" s="50" t="s">
        <v>410</v>
      </c>
      <c r="G31" s="48" t="s">
        <v>22</v>
      </c>
      <c r="H31" s="48" t="s">
        <v>22</v>
      </c>
      <c r="I31" s="48"/>
      <c r="J31" s="87" t="s">
        <v>593</v>
      </c>
      <c r="K31" s="48" t="s">
        <v>635</v>
      </c>
      <c r="L31" s="48" t="s">
        <v>445</v>
      </c>
      <c r="M31" s="56"/>
      <c r="N31" s="56"/>
      <c r="O31" s="48" t="s">
        <v>445</v>
      </c>
      <c r="P31" s="52"/>
      <c r="Q31" s="52"/>
      <c r="R31" s="48"/>
      <c r="S31" s="53"/>
      <c r="T31" s="53"/>
      <c r="U31" s="54">
        <v>0.93300000000000005</v>
      </c>
      <c r="V31" s="53"/>
      <c r="W31" s="53"/>
      <c r="X31" s="134">
        <f t="shared" si="0"/>
        <v>0.93300000000000005</v>
      </c>
      <c r="Y31" s="185">
        <v>0.5</v>
      </c>
      <c r="Z31" s="135" t="str">
        <f t="shared" si="1"/>
        <v>F</v>
      </c>
      <c r="AA31" s="175" t="s">
        <v>813</v>
      </c>
      <c r="AB31" s="176">
        <f>AVERAGE($Y$30:$Y$35)</f>
        <v>0.81266666666666676</v>
      </c>
      <c r="AC31" s="176">
        <f>MEDIAN($Y$30:$Y$35)</f>
        <v>0.84499999999999997</v>
      </c>
      <c r="AD31" s="176">
        <f>MAX($Y$30:$Y$35)</f>
        <v>1.3460000000000001</v>
      </c>
      <c r="AE31" s="176">
        <f>MIN($Y$30:$Y$35)</f>
        <v>0.34</v>
      </c>
      <c r="AF31" s="176">
        <f>STDEV($Y$30:$Y$35)</f>
        <v>0.36256125919169374</v>
      </c>
      <c r="AG31" s="231">
        <f>COUNT($Y$30:$Y$35)</f>
        <v>6</v>
      </c>
    </row>
    <row r="32" spans="1:33">
      <c r="A32" s="47">
        <v>172</v>
      </c>
      <c r="B32" s="48" t="s">
        <v>302</v>
      </c>
      <c r="C32" s="48">
        <v>2010</v>
      </c>
      <c r="D32" s="48" t="s">
        <v>303</v>
      </c>
      <c r="E32" s="46" t="s">
        <v>305</v>
      </c>
      <c r="F32" s="50">
        <v>40230</v>
      </c>
      <c r="G32" s="48" t="s">
        <v>258</v>
      </c>
      <c r="H32" s="48" t="s">
        <v>20</v>
      </c>
      <c r="I32" s="48"/>
      <c r="J32" s="87" t="s">
        <v>593</v>
      </c>
      <c r="K32" s="48" t="s">
        <v>609</v>
      </c>
      <c r="L32" s="48" t="s">
        <v>336</v>
      </c>
      <c r="M32" s="56" t="s">
        <v>337</v>
      </c>
      <c r="N32" s="56" t="s">
        <v>338</v>
      </c>
      <c r="O32" s="48"/>
      <c r="P32" s="52"/>
      <c r="Q32" s="52"/>
      <c r="R32" s="48"/>
      <c r="S32" s="53"/>
      <c r="T32" s="53"/>
      <c r="U32" s="55">
        <v>0.95299999999999996</v>
      </c>
      <c r="V32" s="54"/>
      <c r="W32" s="54"/>
      <c r="X32" s="134">
        <f t="shared" si="0"/>
        <v>0.95299999999999996</v>
      </c>
      <c r="Y32" s="183">
        <v>1.3460000000000001</v>
      </c>
      <c r="Z32" s="135" t="str">
        <f t="shared" si="1"/>
        <v>F</v>
      </c>
    </row>
    <row r="33" spans="1:33">
      <c r="A33" s="47">
        <v>144</v>
      </c>
      <c r="B33" s="74" t="s">
        <v>36</v>
      </c>
      <c r="C33" s="52">
        <v>1980</v>
      </c>
      <c r="D33" s="74" t="s">
        <v>287</v>
      </c>
      <c r="E33" s="46" t="s">
        <v>16</v>
      </c>
      <c r="F33" s="48"/>
      <c r="G33" s="48"/>
      <c r="H33" s="48"/>
      <c r="I33" s="48"/>
      <c r="J33" s="87" t="s">
        <v>593</v>
      </c>
      <c r="K33" s="48" t="s">
        <v>631</v>
      </c>
      <c r="L33" s="70" t="s">
        <v>296</v>
      </c>
      <c r="M33" s="48"/>
      <c r="N33" s="48"/>
      <c r="O33" s="48"/>
      <c r="P33" s="48"/>
      <c r="Q33" s="48"/>
      <c r="R33" s="48"/>
      <c r="S33" s="53"/>
      <c r="T33" s="53"/>
      <c r="U33" s="53"/>
      <c r="V33" s="53"/>
      <c r="W33" s="53"/>
      <c r="X33" s="134" t="str">
        <f t="shared" si="0"/>
        <v/>
      </c>
      <c r="Y33" s="180">
        <v>0.34</v>
      </c>
      <c r="Z33" s="135" t="str">
        <f t="shared" si="1"/>
        <v/>
      </c>
    </row>
    <row r="34" spans="1:33">
      <c r="A34" s="47">
        <v>144</v>
      </c>
      <c r="B34" s="74" t="s">
        <v>36</v>
      </c>
      <c r="C34" s="52">
        <v>1980</v>
      </c>
      <c r="D34" s="74" t="s">
        <v>287</v>
      </c>
      <c r="E34" s="46" t="s">
        <v>16</v>
      </c>
      <c r="F34" s="48"/>
      <c r="G34" s="48"/>
      <c r="H34" s="48"/>
      <c r="I34" s="48"/>
      <c r="J34" s="87" t="s">
        <v>593</v>
      </c>
      <c r="K34" s="48" t="s">
        <v>700</v>
      </c>
      <c r="L34" s="70" t="s">
        <v>294</v>
      </c>
      <c r="M34" s="48"/>
      <c r="N34" s="48"/>
      <c r="O34" s="48"/>
      <c r="P34" s="48"/>
      <c r="Q34" s="48"/>
      <c r="R34" s="48"/>
      <c r="S34" s="53"/>
      <c r="T34" s="53"/>
      <c r="U34" s="53"/>
      <c r="V34" s="53"/>
      <c r="W34" s="53"/>
      <c r="X34" s="134" t="str">
        <f t="shared" ref="X34:X65" si="2">IF(R34&lt;&gt;0,IF(R34&gt;1,R34/100,R34),IF(U34&lt;&gt;0,IF(U34&gt;1,U34/100,U34),""))</f>
        <v/>
      </c>
      <c r="Y34" s="180">
        <v>0.76</v>
      </c>
      <c r="Z34" s="135" t="str">
        <f t="shared" ref="Z34:Z65" si="3">IF(X34&lt;&gt;"",IF(X34&lt;0.9,"S","F"),"")</f>
        <v/>
      </c>
    </row>
    <row r="35" spans="1:33">
      <c r="A35" s="47">
        <v>174</v>
      </c>
      <c r="B35" s="48" t="s">
        <v>407</v>
      </c>
      <c r="C35" s="48">
        <v>2009</v>
      </c>
      <c r="D35" s="74" t="s">
        <v>408</v>
      </c>
      <c r="E35" s="46" t="s">
        <v>16</v>
      </c>
      <c r="F35" s="50" t="s">
        <v>410</v>
      </c>
      <c r="G35" s="48" t="s">
        <v>22</v>
      </c>
      <c r="H35" s="48" t="s">
        <v>22</v>
      </c>
      <c r="I35" s="48"/>
      <c r="J35" s="87" t="s">
        <v>593</v>
      </c>
      <c r="K35" s="48" t="s">
        <v>636</v>
      </c>
      <c r="L35" s="48" t="s">
        <v>441</v>
      </c>
      <c r="M35" s="56"/>
      <c r="N35" s="56"/>
      <c r="O35" s="48" t="s">
        <v>441</v>
      </c>
      <c r="P35" s="52"/>
      <c r="Q35" s="52"/>
      <c r="R35" s="48"/>
      <c r="S35" s="53"/>
      <c r="T35" s="53"/>
      <c r="U35" s="54">
        <v>0.91500000000000004</v>
      </c>
      <c r="V35" s="53"/>
      <c r="W35" s="53"/>
      <c r="X35" s="134">
        <f t="shared" si="2"/>
        <v>0.91500000000000004</v>
      </c>
      <c r="Y35" s="185">
        <v>1</v>
      </c>
      <c r="Z35" s="135" t="str">
        <f t="shared" si="3"/>
        <v>F</v>
      </c>
    </row>
    <row r="36" spans="1:33" s="95" customFormat="1">
      <c r="A36" s="197">
        <v>174</v>
      </c>
      <c r="B36" s="199" t="s">
        <v>407</v>
      </c>
      <c r="C36" s="199">
        <v>2009</v>
      </c>
      <c r="D36" s="206" t="s">
        <v>408</v>
      </c>
      <c r="E36" s="193" t="s">
        <v>16</v>
      </c>
      <c r="F36" s="213" t="s">
        <v>410</v>
      </c>
      <c r="G36" s="199" t="s">
        <v>414</v>
      </c>
      <c r="H36" s="199" t="s">
        <v>49</v>
      </c>
      <c r="I36" s="199"/>
      <c r="J36" s="194" t="s">
        <v>706</v>
      </c>
      <c r="K36" s="199" t="s">
        <v>663</v>
      </c>
      <c r="L36" s="199" t="s">
        <v>254</v>
      </c>
      <c r="M36" s="217"/>
      <c r="N36" s="217"/>
      <c r="O36" s="199" t="s">
        <v>254</v>
      </c>
      <c r="P36" s="202"/>
      <c r="Q36" s="202"/>
      <c r="R36" s="199"/>
      <c r="S36" s="200"/>
      <c r="T36" s="200"/>
      <c r="U36" s="218">
        <v>0.90600000000000003</v>
      </c>
      <c r="V36" s="200"/>
      <c r="W36" s="200"/>
      <c r="X36" s="137">
        <f t="shared" si="2"/>
        <v>0.90600000000000003</v>
      </c>
      <c r="Y36" s="224">
        <v>2.1</v>
      </c>
      <c r="Z36" s="138" t="str">
        <f t="shared" si="3"/>
        <v>F</v>
      </c>
      <c r="AA36" s="232" t="str">
        <f>+J36</f>
        <v>W conifer</v>
      </c>
      <c r="AB36" s="157" t="s">
        <v>814</v>
      </c>
      <c r="AC36" s="157" t="s">
        <v>815</v>
      </c>
      <c r="AD36" s="157" t="s">
        <v>816</v>
      </c>
      <c r="AE36" s="157" t="s">
        <v>817</v>
      </c>
      <c r="AF36" s="157" t="s">
        <v>818</v>
      </c>
      <c r="AG36" s="157" t="s">
        <v>819</v>
      </c>
    </row>
    <row r="37" spans="1:33" s="95" customFormat="1">
      <c r="A37" s="197">
        <v>172</v>
      </c>
      <c r="B37" s="199" t="s">
        <v>302</v>
      </c>
      <c r="C37" s="199">
        <v>2010</v>
      </c>
      <c r="D37" s="199" t="s">
        <v>303</v>
      </c>
      <c r="E37" s="193" t="s">
        <v>305</v>
      </c>
      <c r="F37" s="213">
        <v>40234</v>
      </c>
      <c r="G37" s="199" t="s">
        <v>347</v>
      </c>
      <c r="H37" s="199" t="s">
        <v>49</v>
      </c>
      <c r="I37" s="199"/>
      <c r="J37" s="194" t="s">
        <v>706</v>
      </c>
      <c r="K37" s="199" t="s">
        <v>682</v>
      </c>
      <c r="L37" s="199" t="s">
        <v>348</v>
      </c>
      <c r="M37" s="214" t="s">
        <v>349</v>
      </c>
      <c r="N37" s="214"/>
      <c r="O37" s="199"/>
      <c r="P37" s="202"/>
      <c r="Q37" s="202"/>
      <c r="R37" s="199"/>
      <c r="S37" s="200"/>
      <c r="T37" s="200"/>
      <c r="U37" s="218">
        <v>0.93400000000000005</v>
      </c>
      <c r="V37" s="215"/>
      <c r="W37" s="215"/>
      <c r="X37" s="137">
        <f t="shared" si="2"/>
        <v>0.93400000000000005</v>
      </c>
      <c r="Y37" s="222">
        <v>1.5820000000000001</v>
      </c>
      <c r="Z37" s="138" t="str">
        <f t="shared" si="3"/>
        <v>F</v>
      </c>
      <c r="AA37" s="228" t="s">
        <v>813</v>
      </c>
      <c r="AB37" s="229">
        <f>AVERAGE($Y$36:$Y$52)</f>
        <v>1.1462941176470589</v>
      </c>
      <c r="AC37" s="229">
        <f>MEDIAN($Y$36:$Y$52)</f>
        <v>0.9</v>
      </c>
      <c r="AD37" s="229">
        <f>MAX($Y$36:$Y$52)</f>
        <v>2.85</v>
      </c>
      <c r="AE37" s="229">
        <f>MIN($Y$36:$Y$52)</f>
        <v>0.3</v>
      </c>
      <c r="AF37" s="229">
        <f>STDEV($Y$36:$Y$52)</f>
        <v>0.8201263442837543</v>
      </c>
      <c r="AG37" s="230">
        <f>COUNT($Y$36:$Y$52)</f>
        <v>17</v>
      </c>
    </row>
    <row r="38" spans="1:33" s="95" customFormat="1">
      <c r="A38" s="197">
        <v>174</v>
      </c>
      <c r="B38" s="199" t="s">
        <v>407</v>
      </c>
      <c r="C38" s="199">
        <v>2009</v>
      </c>
      <c r="D38" s="206" t="s">
        <v>408</v>
      </c>
      <c r="E38" s="193" t="s">
        <v>16</v>
      </c>
      <c r="F38" s="213" t="s">
        <v>410</v>
      </c>
      <c r="G38" s="199" t="s">
        <v>414</v>
      </c>
      <c r="H38" s="199" t="s">
        <v>49</v>
      </c>
      <c r="I38" s="199"/>
      <c r="J38" s="194" t="s">
        <v>706</v>
      </c>
      <c r="K38" s="199" t="s">
        <v>661</v>
      </c>
      <c r="L38" s="199" t="s">
        <v>434</v>
      </c>
      <c r="M38" s="217"/>
      <c r="N38" s="217"/>
      <c r="O38" s="199" t="s">
        <v>434</v>
      </c>
      <c r="P38" s="202"/>
      <c r="Q38" s="202"/>
      <c r="R38" s="199"/>
      <c r="S38" s="200"/>
      <c r="T38" s="200"/>
      <c r="U38" s="218">
        <v>0.92</v>
      </c>
      <c r="V38" s="200"/>
      <c r="W38" s="200"/>
      <c r="X38" s="137">
        <f t="shared" si="2"/>
        <v>0.92</v>
      </c>
      <c r="Y38" s="224">
        <v>0.4</v>
      </c>
      <c r="Z38" s="138" t="str">
        <f t="shared" si="3"/>
        <v>F</v>
      </c>
    </row>
    <row r="39" spans="1:33" s="95" customFormat="1">
      <c r="A39" s="197">
        <v>174</v>
      </c>
      <c r="B39" s="199" t="s">
        <v>407</v>
      </c>
      <c r="C39" s="199">
        <v>2009</v>
      </c>
      <c r="D39" s="206" t="s">
        <v>408</v>
      </c>
      <c r="E39" s="193" t="s">
        <v>16</v>
      </c>
      <c r="F39" s="213" t="s">
        <v>410</v>
      </c>
      <c r="G39" s="199" t="s">
        <v>414</v>
      </c>
      <c r="H39" s="199" t="s">
        <v>49</v>
      </c>
      <c r="I39" s="199"/>
      <c r="J39" s="194" t="s">
        <v>706</v>
      </c>
      <c r="K39" s="199" t="s">
        <v>661</v>
      </c>
      <c r="L39" s="199" t="s">
        <v>421</v>
      </c>
      <c r="M39" s="217"/>
      <c r="N39" s="217"/>
      <c r="O39" s="199" t="s">
        <v>422</v>
      </c>
      <c r="P39" s="202"/>
      <c r="Q39" s="202"/>
      <c r="R39" s="199"/>
      <c r="S39" s="200"/>
      <c r="T39" s="200"/>
      <c r="U39" s="218">
        <v>0.91500000000000004</v>
      </c>
      <c r="V39" s="200"/>
      <c r="W39" s="200"/>
      <c r="X39" s="137">
        <f t="shared" si="2"/>
        <v>0.91500000000000004</v>
      </c>
      <c r="Y39" s="224">
        <v>0.7</v>
      </c>
      <c r="Z39" s="138" t="str">
        <f t="shared" si="3"/>
        <v>F</v>
      </c>
    </row>
    <row r="40" spans="1:33" s="95" customFormat="1">
      <c r="A40" s="197">
        <v>174</v>
      </c>
      <c r="B40" s="199" t="s">
        <v>407</v>
      </c>
      <c r="C40" s="199">
        <v>2009</v>
      </c>
      <c r="D40" s="206" t="s">
        <v>408</v>
      </c>
      <c r="E40" s="193" t="s">
        <v>16</v>
      </c>
      <c r="F40" s="213" t="s">
        <v>410</v>
      </c>
      <c r="G40" s="199" t="s">
        <v>414</v>
      </c>
      <c r="H40" s="199" t="s">
        <v>49</v>
      </c>
      <c r="I40" s="199"/>
      <c r="J40" s="194" t="s">
        <v>706</v>
      </c>
      <c r="K40" s="199" t="s">
        <v>660</v>
      </c>
      <c r="L40" s="199" t="s">
        <v>424</v>
      </c>
      <c r="M40" s="217"/>
      <c r="N40" s="217"/>
      <c r="O40" s="199" t="s">
        <v>424</v>
      </c>
      <c r="P40" s="202"/>
      <c r="Q40" s="202"/>
      <c r="R40" s="199"/>
      <c r="S40" s="200"/>
      <c r="T40" s="200"/>
      <c r="U40" s="218">
        <v>0.92</v>
      </c>
      <c r="V40" s="200"/>
      <c r="W40" s="200"/>
      <c r="X40" s="137">
        <f t="shared" si="2"/>
        <v>0.92</v>
      </c>
      <c r="Y40" s="224">
        <v>0.4</v>
      </c>
      <c r="Z40" s="138" t="str">
        <f t="shared" si="3"/>
        <v>F</v>
      </c>
    </row>
    <row r="41" spans="1:33" s="95" customFormat="1">
      <c r="A41" s="197">
        <v>197</v>
      </c>
      <c r="B41" s="198" t="s">
        <v>466</v>
      </c>
      <c r="C41" s="199">
        <v>2007</v>
      </c>
      <c r="D41" s="198" t="s">
        <v>513</v>
      </c>
      <c r="E41" s="193" t="s">
        <v>16</v>
      </c>
      <c r="F41" s="199">
        <v>2003</v>
      </c>
      <c r="G41" s="199" t="s">
        <v>125</v>
      </c>
      <c r="H41" s="199" t="s">
        <v>49</v>
      </c>
      <c r="I41" s="199"/>
      <c r="J41" s="194" t="s">
        <v>706</v>
      </c>
      <c r="K41" s="199" t="s">
        <v>654</v>
      </c>
      <c r="L41" s="199" t="s">
        <v>201</v>
      </c>
      <c r="M41" s="199"/>
      <c r="N41" s="199"/>
      <c r="O41" s="199" t="s">
        <v>516</v>
      </c>
      <c r="P41" s="199">
        <v>0.97</v>
      </c>
      <c r="Q41" s="199"/>
      <c r="R41" s="199">
        <f>+P41</f>
        <v>0.97</v>
      </c>
      <c r="S41" s="200">
        <v>0.98</v>
      </c>
      <c r="T41" s="200"/>
      <c r="U41" s="199">
        <f>+S41</f>
        <v>0.98</v>
      </c>
      <c r="V41" s="200">
        <v>0.9</v>
      </c>
      <c r="W41" s="200"/>
      <c r="X41" s="137">
        <f t="shared" si="2"/>
        <v>0.97</v>
      </c>
      <c r="Y41" s="201">
        <f>+V41</f>
        <v>0.9</v>
      </c>
      <c r="Z41" s="138" t="str">
        <f t="shared" si="3"/>
        <v>F</v>
      </c>
    </row>
    <row r="42" spans="1:33" s="95" customFormat="1">
      <c r="A42" s="197">
        <v>197</v>
      </c>
      <c r="B42" s="198" t="s">
        <v>466</v>
      </c>
      <c r="C42" s="199">
        <v>2007</v>
      </c>
      <c r="D42" s="198" t="s">
        <v>513</v>
      </c>
      <c r="E42" s="193" t="s">
        <v>16</v>
      </c>
      <c r="F42" s="199">
        <v>2003</v>
      </c>
      <c r="G42" s="199" t="s">
        <v>125</v>
      </c>
      <c r="H42" s="199" t="s">
        <v>49</v>
      </c>
      <c r="I42" s="199"/>
      <c r="J42" s="194" t="s">
        <v>706</v>
      </c>
      <c r="K42" s="199" t="s">
        <v>654</v>
      </c>
      <c r="L42" s="199" t="s">
        <v>201</v>
      </c>
      <c r="M42" s="199"/>
      <c r="N42" s="199"/>
      <c r="O42" s="199" t="s">
        <v>516</v>
      </c>
      <c r="P42" s="199"/>
      <c r="Q42" s="199"/>
      <c r="R42" s="199">
        <v>0.96</v>
      </c>
      <c r="S42" s="200"/>
      <c r="T42" s="200"/>
      <c r="U42" s="200">
        <v>0.97</v>
      </c>
      <c r="V42" s="200"/>
      <c r="W42" s="200"/>
      <c r="X42" s="137">
        <f t="shared" si="2"/>
        <v>0.96</v>
      </c>
      <c r="Y42" s="201">
        <v>1</v>
      </c>
      <c r="Z42" s="138" t="str">
        <f t="shared" si="3"/>
        <v>F</v>
      </c>
    </row>
    <row r="43" spans="1:33" s="95" customFormat="1">
      <c r="A43" s="197">
        <v>172</v>
      </c>
      <c r="B43" s="199" t="s">
        <v>302</v>
      </c>
      <c r="C43" s="199">
        <v>2010</v>
      </c>
      <c r="D43" s="199" t="s">
        <v>303</v>
      </c>
      <c r="E43" s="193" t="s">
        <v>305</v>
      </c>
      <c r="F43" s="213">
        <v>40235</v>
      </c>
      <c r="G43" s="199" t="s">
        <v>347</v>
      </c>
      <c r="H43" s="199" t="s">
        <v>49</v>
      </c>
      <c r="I43" s="199"/>
      <c r="J43" s="194" t="s">
        <v>706</v>
      </c>
      <c r="K43" s="199" t="s">
        <v>654</v>
      </c>
      <c r="L43" s="199" t="s">
        <v>350</v>
      </c>
      <c r="M43" s="217" t="s">
        <v>351</v>
      </c>
      <c r="N43" s="217"/>
      <c r="O43" s="199"/>
      <c r="P43" s="202"/>
      <c r="Q43" s="202"/>
      <c r="R43" s="199"/>
      <c r="S43" s="200"/>
      <c r="T43" s="200"/>
      <c r="U43" s="218">
        <v>0.95899999999999996</v>
      </c>
      <c r="V43" s="200"/>
      <c r="W43" s="200"/>
      <c r="X43" s="137">
        <f t="shared" si="2"/>
        <v>0.95899999999999996</v>
      </c>
      <c r="Y43" s="201">
        <v>0.86499999999999999</v>
      </c>
      <c r="Z43" s="138" t="str">
        <f t="shared" si="3"/>
        <v>F</v>
      </c>
    </row>
    <row r="44" spans="1:33" s="95" customFormat="1">
      <c r="A44" s="197">
        <v>197</v>
      </c>
      <c r="B44" s="198" t="s">
        <v>466</v>
      </c>
      <c r="C44" s="199">
        <v>2007</v>
      </c>
      <c r="D44" s="198" t="s">
        <v>513</v>
      </c>
      <c r="E44" s="193" t="s">
        <v>16</v>
      </c>
      <c r="F44" s="199">
        <v>2003</v>
      </c>
      <c r="G44" s="199" t="s">
        <v>125</v>
      </c>
      <c r="H44" s="199" t="s">
        <v>49</v>
      </c>
      <c r="I44" s="199"/>
      <c r="J44" s="194" t="s">
        <v>706</v>
      </c>
      <c r="K44" s="199" t="s">
        <v>654</v>
      </c>
      <c r="L44" s="199" t="s">
        <v>201</v>
      </c>
      <c r="M44" s="199"/>
      <c r="N44" s="199"/>
      <c r="O44" s="199" t="s">
        <v>516</v>
      </c>
      <c r="P44" s="199"/>
      <c r="Q44" s="199">
        <v>0.87</v>
      </c>
      <c r="R44" s="199">
        <f>+Q44</f>
        <v>0.87</v>
      </c>
      <c r="S44" s="200"/>
      <c r="T44" s="200">
        <v>0.88</v>
      </c>
      <c r="U44" s="199">
        <f>+T44</f>
        <v>0.88</v>
      </c>
      <c r="V44" s="200"/>
      <c r="W44" s="200">
        <v>2.1</v>
      </c>
      <c r="X44" s="137">
        <f t="shared" si="2"/>
        <v>0.87</v>
      </c>
      <c r="Y44" s="201">
        <f>+W44</f>
        <v>2.1</v>
      </c>
      <c r="Z44" s="138" t="str">
        <f t="shared" si="3"/>
        <v>S</v>
      </c>
    </row>
    <row r="45" spans="1:33" s="95" customFormat="1">
      <c r="A45" s="197">
        <v>197</v>
      </c>
      <c r="B45" s="198" t="s">
        <v>466</v>
      </c>
      <c r="C45" s="199">
        <v>2007</v>
      </c>
      <c r="D45" s="198" t="s">
        <v>513</v>
      </c>
      <c r="E45" s="193" t="s">
        <v>16</v>
      </c>
      <c r="F45" s="199">
        <v>2003</v>
      </c>
      <c r="G45" s="199" t="s">
        <v>125</v>
      </c>
      <c r="H45" s="199" t="s">
        <v>49</v>
      </c>
      <c r="I45" s="199"/>
      <c r="J45" s="194" t="s">
        <v>706</v>
      </c>
      <c r="K45" s="199" t="s">
        <v>653</v>
      </c>
      <c r="L45" s="199" t="s">
        <v>121</v>
      </c>
      <c r="M45" s="199"/>
      <c r="N45" s="199"/>
      <c r="O45" s="199" t="s">
        <v>515</v>
      </c>
      <c r="P45" s="199">
        <v>0.98</v>
      </c>
      <c r="Q45" s="199"/>
      <c r="R45" s="199">
        <f>+P45</f>
        <v>0.98</v>
      </c>
      <c r="S45" s="200">
        <v>0.99</v>
      </c>
      <c r="T45" s="200"/>
      <c r="U45" s="199">
        <f>+S45</f>
        <v>0.99</v>
      </c>
      <c r="V45" s="200">
        <v>0.3</v>
      </c>
      <c r="W45" s="200"/>
      <c r="X45" s="137">
        <f t="shared" si="2"/>
        <v>0.98</v>
      </c>
      <c r="Y45" s="201">
        <f>+V45</f>
        <v>0.3</v>
      </c>
      <c r="Z45" s="138" t="str">
        <f t="shared" si="3"/>
        <v>F</v>
      </c>
    </row>
    <row r="46" spans="1:33" s="95" customFormat="1">
      <c r="A46" s="197">
        <v>197</v>
      </c>
      <c r="B46" s="198" t="s">
        <v>466</v>
      </c>
      <c r="C46" s="199">
        <v>2007</v>
      </c>
      <c r="D46" s="198" t="s">
        <v>513</v>
      </c>
      <c r="E46" s="193" t="s">
        <v>16</v>
      </c>
      <c r="F46" s="199">
        <v>2003</v>
      </c>
      <c r="G46" s="199" t="s">
        <v>125</v>
      </c>
      <c r="H46" s="199" t="s">
        <v>49</v>
      </c>
      <c r="I46" s="199"/>
      <c r="J46" s="194" t="s">
        <v>706</v>
      </c>
      <c r="K46" s="199" t="s">
        <v>653</v>
      </c>
      <c r="L46" s="199" t="s">
        <v>121</v>
      </c>
      <c r="M46" s="199"/>
      <c r="N46" s="199"/>
      <c r="O46" s="199" t="s">
        <v>515</v>
      </c>
      <c r="P46" s="199"/>
      <c r="Q46" s="199"/>
      <c r="R46" s="199">
        <v>0.98</v>
      </c>
      <c r="S46" s="200"/>
      <c r="T46" s="200"/>
      <c r="U46" s="200">
        <v>0.99</v>
      </c>
      <c r="V46" s="200"/>
      <c r="W46" s="200"/>
      <c r="X46" s="137">
        <f t="shared" si="2"/>
        <v>0.98</v>
      </c>
      <c r="Y46" s="201">
        <v>0.3</v>
      </c>
      <c r="Z46" s="138" t="str">
        <f t="shared" si="3"/>
        <v>F</v>
      </c>
    </row>
    <row r="47" spans="1:33" s="95" customFormat="1">
      <c r="A47" s="197">
        <v>197</v>
      </c>
      <c r="B47" s="198" t="s">
        <v>466</v>
      </c>
      <c r="C47" s="199">
        <v>2007</v>
      </c>
      <c r="D47" s="198" t="s">
        <v>513</v>
      </c>
      <c r="E47" s="193" t="s">
        <v>16</v>
      </c>
      <c r="F47" s="199">
        <v>2003</v>
      </c>
      <c r="G47" s="199" t="s">
        <v>125</v>
      </c>
      <c r="H47" s="199" t="s">
        <v>49</v>
      </c>
      <c r="I47" s="199"/>
      <c r="J47" s="194" t="s">
        <v>706</v>
      </c>
      <c r="K47" s="199" t="s">
        <v>653</v>
      </c>
      <c r="L47" s="199" t="s">
        <v>121</v>
      </c>
      <c r="M47" s="199"/>
      <c r="N47" s="199"/>
      <c r="O47" s="199" t="s">
        <v>515</v>
      </c>
      <c r="P47" s="199"/>
      <c r="Q47" s="199">
        <v>0.88</v>
      </c>
      <c r="R47" s="199">
        <f>+Q47</f>
        <v>0.88</v>
      </c>
      <c r="S47" s="200"/>
      <c r="T47" s="200">
        <v>0.89</v>
      </c>
      <c r="U47" s="199">
        <f>+T47</f>
        <v>0.89</v>
      </c>
      <c r="V47" s="200"/>
      <c r="W47" s="200">
        <v>1.1000000000000001</v>
      </c>
      <c r="X47" s="137">
        <f t="shared" si="2"/>
        <v>0.88</v>
      </c>
      <c r="Y47" s="201">
        <f>+W47</f>
        <v>1.1000000000000001</v>
      </c>
      <c r="Z47" s="138" t="str">
        <f t="shared" si="3"/>
        <v>S</v>
      </c>
    </row>
    <row r="48" spans="1:33" s="95" customFormat="1">
      <c r="A48" s="197">
        <v>173</v>
      </c>
      <c r="B48" s="199" t="s">
        <v>302</v>
      </c>
      <c r="C48" s="199">
        <v>2011</v>
      </c>
      <c r="D48" s="206" t="s">
        <v>352</v>
      </c>
      <c r="E48" s="193" t="s">
        <v>354</v>
      </c>
      <c r="F48" s="213" t="s">
        <v>369</v>
      </c>
      <c r="G48" s="199" t="s">
        <v>370</v>
      </c>
      <c r="H48" s="199" t="s">
        <v>39</v>
      </c>
      <c r="I48" s="199"/>
      <c r="J48" s="194" t="s">
        <v>706</v>
      </c>
      <c r="K48" s="199" t="s">
        <v>728</v>
      </c>
      <c r="L48" s="199" t="s">
        <v>768</v>
      </c>
      <c r="M48" s="217"/>
      <c r="N48" s="217"/>
      <c r="O48" s="199" t="s">
        <v>372</v>
      </c>
      <c r="P48" s="202"/>
      <c r="Q48" s="202"/>
      <c r="R48" s="199"/>
      <c r="S48" s="200"/>
      <c r="T48" s="200"/>
      <c r="U48" s="218">
        <v>0.91300000000000003</v>
      </c>
      <c r="V48" s="200"/>
      <c r="W48" s="200"/>
      <c r="X48" s="137">
        <f t="shared" si="2"/>
        <v>0.91300000000000003</v>
      </c>
      <c r="Y48" s="201">
        <v>2.69</v>
      </c>
      <c r="Z48" s="138" t="str">
        <f t="shared" si="3"/>
        <v>F</v>
      </c>
    </row>
    <row r="49" spans="1:33" s="95" customFormat="1">
      <c r="A49" s="197">
        <v>173</v>
      </c>
      <c r="B49" s="199" t="s">
        <v>302</v>
      </c>
      <c r="C49" s="199">
        <v>2011</v>
      </c>
      <c r="D49" s="206" t="s">
        <v>352</v>
      </c>
      <c r="E49" s="193" t="s">
        <v>354</v>
      </c>
      <c r="F49" s="213" t="s">
        <v>369</v>
      </c>
      <c r="G49" s="199" t="s">
        <v>370</v>
      </c>
      <c r="H49" s="199" t="s">
        <v>39</v>
      </c>
      <c r="I49" s="199"/>
      <c r="J49" s="194" t="s">
        <v>706</v>
      </c>
      <c r="K49" s="199" t="s">
        <v>728</v>
      </c>
      <c r="L49" s="199" t="s">
        <v>373</v>
      </c>
      <c r="M49" s="217"/>
      <c r="N49" s="217"/>
      <c r="O49" s="199" t="s">
        <v>374</v>
      </c>
      <c r="P49" s="202"/>
      <c r="Q49" s="202"/>
      <c r="R49" s="199"/>
      <c r="S49" s="200"/>
      <c r="T49" s="200"/>
      <c r="U49" s="218">
        <v>0.88500000000000001</v>
      </c>
      <c r="V49" s="200"/>
      <c r="W49" s="200"/>
      <c r="X49" s="137">
        <f t="shared" si="2"/>
        <v>0.88500000000000001</v>
      </c>
      <c r="Y49" s="201">
        <v>2.85</v>
      </c>
      <c r="Z49" s="138" t="str">
        <f t="shared" si="3"/>
        <v>S</v>
      </c>
    </row>
    <row r="50" spans="1:33" s="95" customFormat="1">
      <c r="A50" s="197">
        <v>197</v>
      </c>
      <c r="B50" s="198" t="s">
        <v>466</v>
      </c>
      <c r="C50" s="199">
        <v>2007</v>
      </c>
      <c r="D50" s="198" t="s">
        <v>513</v>
      </c>
      <c r="E50" s="193" t="s">
        <v>16</v>
      </c>
      <c r="F50" s="199">
        <v>2003</v>
      </c>
      <c r="G50" s="199" t="s">
        <v>125</v>
      </c>
      <c r="H50" s="199" t="s">
        <v>49</v>
      </c>
      <c r="I50" s="199"/>
      <c r="J50" s="194" t="s">
        <v>706</v>
      </c>
      <c r="K50" s="199" t="s">
        <v>708</v>
      </c>
      <c r="L50" s="199" t="s">
        <v>509</v>
      </c>
      <c r="M50" s="199"/>
      <c r="N50" s="199"/>
      <c r="O50" s="199" t="s">
        <v>517</v>
      </c>
      <c r="P50" s="199">
        <v>0.98</v>
      </c>
      <c r="Q50" s="199"/>
      <c r="R50" s="199">
        <f>+P50</f>
        <v>0.98</v>
      </c>
      <c r="S50" s="200">
        <v>0.99</v>
      </c>
      <c r="T50" s="200"/>
      <c r="U50" s="199">
        <f>+S50</f>
        <v>0.99</v>
      </c>
      <c r="V50" s="200">
        <v>0.6</v>
      </c>
      <c r="W50" s="200"/>
      <c r="X50" s="137">
        <f t="shared" si="2"/>
        <v>0.98</v>
      </c>
      <c r="Y50" s="201">
        <f>+V50</f>
        <v>0.6</v>
      </c>
      <c r="Z50" s="138" t="str">
        <f t="shared" si="3"/>
        <v>F</v>
      </c>
    </row>
    <row r="51" spans="1:33" s="95" customFormat="1">
      <c r="A51" s="197">
        <v>197</v>
      </c>
      <c r="B51" s="198" t="s">
        <v>466</v>
      </c>
      <c r="C51" s="199">
        <v>2007</v>
      </c>
      <c r="D51" s="198" t="s">
        <v>513</v>
      </c>
      <c r="E51" s="193" t="s">
        <v>16</v>
      </c>
      <c r="F51" s="199">
        <v>2003</v>
      </c>
      <c r="G51" s="199" t="s">
        <v>125</v>
      </c>
      <c r="H51" s="199" t="s">
        <v>49</v>
      </c>
      <c r="I51" s="199"/>
      <c r="J51" s="194" t="s">
        <v>706</v>
      </c>
      <c r="K51" s="199" t="s">
        <v>708</v>
      </c>
      <c r="L51" s="199" t="s">
        <v>509</v>
      </c>
      <c r="M51" s="199"/>
      <c r="N51" s="199"/>
      <c r="O51" s="199" t="s">
        <v>517</v>
      </c>
      <c r="P51" s="199"/>
      <c r="Q51" s="199"/>
      <c r="R51" s="199">
        <v>0.93</v>
      </c>
      <c r="S51" s="200"/>
      <c r="T51" s="200"/>
      <c r="U51" s="200">
        <v>0.96</v>
      </c>
      <c r="V51" s="200"/>
      <c r="W51" s="200"/>
      <c r="X51" s="137">
        <f t="shared" si="2"/>
        <v>0.93</v>
      </c>
      <c r="Y51" s="201">
        <v>0.7</v>
      </c>
      <c r="Z51" s="138" t="str">
        <f t="shared" si="3"/>
        <v>F</v>
      </c>
    </row>
    <row r="52" spans="1:33" s="95" customFormat="1">
      <c r="A52" s="197">
        <v>197</v>
      </c>
      <c r="B52" s="198" t="s">
        <v>466</v>
      </c>
      <c r="C52" s="199">
        <v>2007</v>
      </c>
      <c r="D52" s="198" t="s">
        <v>513</v>
      </c>
      <c r="E52" s="193" t="s">
        <v>16</v>
      </c>
      <c r="F52" s="199">
        <v>2003</v>
      </c>
      <c r="G52" s="199" t="s">
        <v>125</v>
      </c>
      <c r="H52" s="199" t="s">
        <v>49</v>
      </c>
      <c r="I52" s="199"/>
      <c r="J52" s="194" t="s">
        <v>706</v>
      </c>
      <c r="K52" s="199" t="s">
        <v>708</v>
      </c>
      <c r="L52" s="199" t="s">
        <v>509</v>
      </c>
      <c r="M52" s="199"/>
      <c r="N52" s="199"/>
      <c r="O52" s="199" t="s">
        <v>517</v>
      </c>
      <c r="P52" s="199"/>
      <c r="Q52" s="199">
        <v>0.8</v>
      </c>
      <c r="R52" s="199">
        <f>+Q52</f>
        <v>0.8</v>
      </c>
      <c r="S52" s="200"/>
      <c r="T52" s="200">
        <v>0.85</v>
      </c>
      <c r="U52" s="199">
        <f>+T52</f>
        <v>0.85</v>
      </c>
      <c r="V52" s="200"/>
      <c r="W52" s="200">
        <v>0.9</v>
      </c>
      <c r="X52" s="137">
        <f t="shared" si="2"/>
        <v>0.8</v>
      </c>
      <c r="Y52" s="201">
        <f>+W52</f>
        <v>0.9</v>
      </c>
      <c r="Z52" s="138" t="str">
        <f t="shared" si="3"/>
        <v>S</v>
      </c>
    </row>
    <row r="53" spans="1:33" s="104" customFormat="1">
      <c r="A53" s="47">
        <v>197</v>
      </c>
      <c r="B53" s="105" t="s">
        <v>466</v>
      </c>
      <c r="C53" s="48">
        <v>2007</v>
      </c>
      <c r="D53" s="105" t="s">
        <v>513</v>
      </c>
      <c r="E53" s="46" t="s">
        <v>16</v>
      </c>
      <c r="F53" s="48">
        <v>2003</v>
      </c>
      <c r="G53" s="48" t="s">
        <v>125</v>
      </c>
      <c r="H53" s="48" t="s">
        <v>49</v>
      </c>
      <c r="I53" s="48"/>
      <c r="J53" s="87" t="s">
        <v>658</v>
      </c>
      <c r="K53" s="48" t="s">
        <v>683</v>
      </c>
      <c r="L53" s="48" t="s">
        <v>464</v>
      </c>
      <c r="M53" s="48"/>
      <c r="N53" s="48"/>
      <c r="O53" s="48" t="s">
        <v>522</v>
      </c>
      <c r="P53" s="48">
        <v>0.98</v>
      </c>
      <c r="Q53" s="48"/>
      <c r="R53" s="48">
        <f>+P53</f>
        <v>0.98</v>
      </c>
      <c r="S53" s="53">
        <v>0.99</v>
      </c>
      <c r="T53" s="53"/>
      <c r="U53" s="48">
        <f>+S53</f>
        <v>0.99</v>
      </c>
      <c r="V53" s="53">
        <v>4.8</v>
      </c>
      <c r="W53" s="53"/>
      <c r="X53" s="172">
        <f t="shared" si="2"/>
        <v>0.98</v>
      </c>
      <c r="Y53" s="180">
        <f>+V53</f>
        <v>4.8</v>
      </c>
      <c r="Z53" s="173" t="str">
        <f t="shared" si="3"/>
        <v>F</v>
      </c>
      <c r="AA53" s="179" t="str">
        <f>+J53</f>
        <v>W grass</v>
      </c>
      <c r="AB53" s="175" t="s">
        <v>814</v>
      </c>
      <c r="AC53" s="175" t="s">
        <v>815</v>
      </c>
      <c r="AD53" s="175" t="s">
        <v>816</v>
      </c>
      <c r="AE53" s="175" t="s">
        <v>817</v>
      </c>
      <c r="AF53" s="175" t="s">
        <v>818</v>
      </c>
      <c r="AG53" s="175" t="s">
        <v>819</v>
      </c>
    </row>
    <row r="54" spans="1:33" s="104" customFormat="1">
      <c r="A54" s="47">
        <v>197</v>
      </c>
      <c r="B54" s="105" t="s">
        <v>466</v>
      </c>
      <c r="C54" s="48">
        <v>2007</v>
      </c>
      <c r="D54" s="105" t="s">
        <v>513</v>
      </c>
      <c r="E54" s="46" t="s">
        <v>16</v>
      </c>
      <c r="F54" s="48">
        <v>2003</v>
      </c>
      <c r="G54" s="48" t="s">
        <v>125</v>
      </c>
      <c r="H54" s="48" t="s">
        <v>49</v>
      </c>
      <c r="I54" s="48"/>
      <c r="J54" s="87" t="s">
        <v>658</v>
      </c>
      <c r="K54" s="48" t="s">
        <v>683</v>
      </c>
      <c r="L54" s="48" t="s">
        <v>464</v>
      </c>
      <c r="M54" s="48"/>
      <c r="N54" s="48"/>
      <c r="O54" s="48" t="s">
        <v>522</v>
      </c>
      <c r="P54" s="48"/>
      <c r="Q54" s="48"/>
      <c r="R54" s="48">
        <v>0.9</v>
      </c>
      <c r="S54" s="53"/>
      <c r="T54" s="53"/>
      <c r="U54" s="53" t="s">
        <v>524</v>
      </c>
      <c r="V54" s="53"/>
      <c r="W54" s="53"/>
      <c r="X54" s="172">
        <f t="shared" si="2"/>
        <v>0.9</v>
      </c>
      <c r="Y54" s="180">
        <v>6.5</v>
      </c>
      <c r="Z54" s="173" t="str">
        <f t="shared" si="3"/>
        <v>F</v>
      </c>
      <c r="AA54" s="175" t="s">
        <v>813</v>
      </c>
      <c r="AB54" s="176">
        <f>AVERAGE($Y$53:$Y$55)</f>
        <v>7.166666666666667</v>
      </c>
      <c r="AC54" s="176">
        <f>MEDIAN($Y$53:$Y$55)</f>
        <v>6.5</v>
      </c>
      <c r="AD54" s="176">
        <f>MAX($Y$53:$Y$55)</f>
        <v>10.199999999999999</v>
      </c>
      <c r="AE54" s="176">
        <f>MIN($Y$53:$Y$55)</f>
        <v>4.8</v>
      </c>
      <c r="AF54" s="176">
        <f>STDEV($Y$53:$Y$55)</f>
        <v>2.7610384519838402</v>
      </c>
      <c r="AG54" s="231">
        <f>COUNT($Y$53:$Y$55)</f>
        <v>3</v>
      </c>
    </row>
    <row r="55" spans="1:33" s="104" customFormat="1">
      <c r="A55" s="47">
        <v>197</v>
      </c>
      <c r="B55" s="105" t="s">
        <v>466</v>
      </c>
      <c r="C55" s="48">
        <v>2007</v>
      </c>
      <c r="D55" s="105" t="s">
        <v>513</v>
      </c>
      <c r="E55" s="46" t="s">
        <v>16</v>
      </c>
      <c r="F55" s="48">
        <v>2003</v>
      </c>
      <c r="G55" s="48" t="s">
        <v>125</v>
      </c>
      <c r="H55" s="48" t="s">
        <v>49</v>
      </c>
      <c r="I55" s="48"/>
      <c r="J55" s="87" t="s">
        <v>658</v>
      </c>
      <c r="K55" s="48" t="s">
        <v>683</v>
      </c>
      <c r="L55" s="48" t="s">
        <v>464</v>
      </c>
      <c r="M55" s="48"/>
      <c r="N55" s="48"/>
      <c r="O55" s="48" t="s">
        <v>522</v>
      </c>
      <c r="P55" s="48"/>
      <c r="Q55" s="48">
        <v>0.5</v>
      </c>
      <c r="R55" s="48">
        <f>+Q55</f>
        <v>0.5</v>
      </c>
      <c r="S55" s="53"/>
      <c r="T55" s="53" t="s">
        <v>523</v>
      </c>
      <c r="U55" s="48" t="str">
        <f>+T55</f>
        <v>.82-.94</v>
      </c>
      <c r="V55" s="53"/>
      <c r="W55" s="53">
        <v>10.199999999999999</v>
      </c>
      <c r="X55" s="172">
        <f t="shared" si="2"/>
        <v>0.5</v>
      </c>
      <c r="Y55" s="180">
        <f>+W55</f>
        <v>10.199999999999999</v>
      </c>
      <c r="Z55" s="173" t="str">
        <f t="shared" si="3"/>
        <v>S</v>
      </c>
    </row>
    <row r="56" spans="1:33" s="95" customFormat="1">
      <c r="A56" s="197">
        <v>173</v>
      </c>
      <c r="B56" s="199" t="s">
        <v>302</v>
      </c>
      <c r="C56" s="199">
        <v>2011</v>
      </c>
      <c r="D56" s="206" t="s">
        <v>352</v>
      </c>
      <c r="E56" s="193" t="s">
        <v>354</v>
      </c>
      <c r="F56" s="213" t="s">
        <v>390</v>
      </c>
      <c r="G56" s="199" t="s">
        <v>391</v>
      </c>
      <c r="H56" s="199" t="s">
        <v>301</v>
      </c>
      <c r="I56" s="199"/>
      <c r="J56" s="194" t="s">
        <v>705</v>
      </c>
      <c r="K56" s="199" t="s">
        <v>652</v>
      </c>
      <c r="L56" s="199" t="s">
        <v>392</v>
      </c>
      <c r="M56" s="217"/>
      <c r="N56" s="217"/>
      <c r="O56" s="199" t="s">
        <v>393</v>
      </c>
      <c r="P56" s="202"/>
      <c r="Q56" s="202"/>
      <c r="R56" s="199"/>
      <c r="S56" s="200"/>
      <c r="T56" s="200"/>
      <c r="U56" s="218">
        <v>0.94</v>
      </c>
      <c r="V56" s="200"/>
      <c r="W56" s="200"/>
      <c r="X56" s="137">
        <f t="shared" si="2"/>
        <v>0.94</v>
      </c>
      <c r="Y56" s="201">
        <v>4.4800000000000004</v>
      </c>
      <c r="Z56" s="138" t="str">
        <f t="shared" si="3"/>
        <v>F</v>
      </c>
      <c r="AA56" s="232" t="str">
        <f>+J56</f>
        <v>W hardwood</v>
      </c>
      <c r="AB56" s="157" t="s">
        <v>814</v>
      </c>
      <c r="AC56" s="157" t="s">
        <v>815</v>
      </c>
      <c r="AD56" s="157" t="s">
        <v>816</v>
      </c>
      <c r="AE56" s="157" t="s">
        <v>817</v>
      </c>
      <c r="AF56" s="157" t="s">
        <v>818</v>
      </c>
      <c r="AG56" s="157" t="s">
        <v>819</v>
      </c>
    </row>
    <row r="57" spans="1:33" s="95" customFormat="1">
      <c r="A57" s="197">
        <v>172</v>
      </c>
      <c r="B57" s="199" t="s">
        <v>302</v>
      </c>
      <c r="C57" s="199">
        <v>2010</v>
      </c>
      <c r="D57" s="199" t="s">
        <v>303</v>
      </c>
      <c r="E57" s="193" t="s">
        <v>305</v>
      </c>
      <c r="F57" s="213">
        <v>40225</v>
      </c>
      <c r="G57" s="199" t="s">
        <v>324</v>
      </c>
      <c r="H57" s="199" t="s">
        <v>301</v>
      </c>
      <c r="I57" s="199"/>
      <c r="J57" s="194" t="s">
        <v>705</v>
      </c>
      <c r="K57" s="199" t="s">
        <v>650</v>
      </c>
      <c r="L57" s="199" t="s">
        <v>327</v>
      </c>
      <c r="M57" s="214" t="s">
        <v>328</v>
      </c>
      <c r="N57" s="214" t="s">
        <v>329</v>
      </c>
      <c r="O57" s="199"/>
      <c r="P57" s="202"/>
      <c r="Q57" s="202"/>
      <c r="R57" s="199"/>
      <c r="S57" s="200"/>
      <c r="T57" s="200"/>
      <c r="U57" s="215">
        <v>0.97099999999999997</v>
      </c>
      <c r="V57" s="218"/>
      <c r="W57" s="218"/>
      <c r="X57" s="137">
        <f t="shared" si="2"/>
        <v>0.97099999999999997</v>
      </c>
      <c r="Y57" s="216">
        <v>0.56599999999999995</v>
      </c>
      <c r="Z57" s="138" t="str">
        <f t="shared" si="3"/>
        <v>F</v>
      </c>
      <c r="AA57" s="228" t="s">
        <v>813</v>
      </c>
      <c r="AB57" s="229">
        <f>AVERAGE($Y$56:$Y$58)</f>
        <v>1.8473333333333333</v>
      </c>
      <c r="AC57" s="229">
        <f>MEDIAN($Y$56:$Y$58)</f>
        <v>0.56599999999999995</v>
      </c>
      <c r="AD57" s="229">
        <f>MAX($Y$56:$Y$58)</f>
        <v>4.4800000000000004</v>
      </c>
      <c r="AE57" s="229">
        <f>MIN($Y$56:$Y$58)</f>
        <v>0.496</v>
      </c>
      <c r="AF57" s="229">
        <f>STDEV($Y$56:$Y$58)</f>
        <v>2.2802248427147127</v>
      </c>
      <c r="AG57" s="230">
        <f>COUNT($Y$56:$Y$58)</f>
        <v>3</v>
      </c>
    </row>
    <row r="58" spans="1:33" s="95" customFormat="1">
      <c r="A58" s="197">
        <v>172</v>
      </c>
      <c r="B58" s="199" t="s">
        <v>302</v>
      </c>
      <c r="C58" s="199">
        <v>2010</v>
      </c>
      <c r="D58" s="199" t="s">
        <v>303</v>
      </c>
      <c r="E58" s="193" t="s">
        <v>305</v>
      </c>
      <c r="F58" s="213">
        <v>40226</v>
      </c>
      <c r="G58" s="199" t="s">
        <v>324</v>
      </c>
      <c r="H58" s="199" t="s">
        <v>301</v>
      </c>
      <c r="I58" s="199"/>
      <c r="J58" s="194" t="s">
        <v>705</v>
      </c>
      <c r="K58" s="199" t="s">
        <v>651</v>
      </c>
      <c r="L58" s="199" t="s">
        <v>330</v>
      </c>
      <c r="M58" s="214" t="s">
        <v>328</v>
      </c>
      <c r="N58" s="214" t="s">
        <v>331</v>
      </c>
      <c r="O58" s="199"/>
      <c r="P58" s="202"/>
      <c r="Q58" s="202"/>
      <c r="R58" s="199"/>
      <c r="S58" s="200"/>
      <c r="T58" s="200"/>
      <c r="U58" s="215">
        <v>0.96499999999999997</v>
      </c>
      <c r="V58" s="218"/>
      <c r="W58" s="218"/>
      <c r="X58" s="137">
        <f t="shared" si="2"/>
        <v>0.96499999999999997</v>
      </c>
      <c r="Y58" s="216">
        <v>0.496</v>
      </c>
      <c r="Z58" s="138" t="str">
        <f t="shared" si="3"/>
        <v>F</v>
      </c>
    </row>
    <row r="59" spans="1:33" s="104" customFormat="1">
      <c r="A59" s="47">
        <v>172</v>
      </c>
      <c r="B59" s="48" t="s">
        <v>302</v>
      </c>
      <c r="C59" s="48">
        <v>2010</v>
      </c>
      <c r="D59" s="48" t="s">
        <v>303</v>
      </c>
      <c r="E59" s="46" t="s">
        <v>305</v>
      </c>
      <c r="F59" s="50">
        <v>40218</v>
      </c>
      <c r="G59" s="48" t="s">
        <v>306</v>
      </c>
      <c r="H59" s="48" t="s">
        <v>39</v>
      </c>
      <c r="I59" s="48"/>
      <c r="J59" s="87" t="s">
        <v>704</v>
      </c>
      <c r="K59" s="48" t="s">
        <v>613</v>
      </c>
      <c r="L59" s="48" t="s">
        <v>307</v>
      </c>
      <c r="M59" s="56" t="s">
        <v>308</v>
      </c>
      <c r="N59" s="56"/>
      <c r="O59" s="48"/>
      <c r="P59" s="48"/>
      <c r="Q59" s="48"/>
      <c r="R59" s="48"/>
      <c r="S59" s="53"/>
      <c r="T59" s="53"/>
      <c r="U59" s="55">
        <v>0.94599999999999995</v>
      </c>
      <c r="V59" s="54"/>
      <c r="W59" s="54"/>
      <c r="X59" s="172">
        <f t="shared" si="2"/>
        <v>0.94599999999999995</v>
      </c>
      <c r="Y59" s="183">
        <v>1.0609999999999999</v>
      </c>
      <c r="Z59" s="173" t="str">
        <f t="shared" si="3"/>
        <v>F</v>
      </c>
      <c r="AA59" s="179" t="str">
        <f>+J59</f>
        <v>W shrub</v>
      </c>
      <c r="AB59" s="175" t="s">
        <v>814</v>
      </c>
      <c r="AC59" s="175" t="s">
        <v>815</v>
      </c>
      <c r="AD59" s="175" t="s">
        <v>816</v>
      </c>
      <c r="AE59" s="175" t="s">
        <v>817</v>
      </c>
      <c r="AF59" s="175" t="s">
        <v>818</v>
      </c>
      <c r="AG59" s="175" t="s">
        <v>819</v>
      </c>
    </row>
    <row r="60" spans="1:33" s="104" customFormat="1">
      <c r="A60" s="47">
        <v>174</v>
      </c>
      <c r="B60" s="48" t="s">
        <v>407</v>
      </c>
      <c r="C60" s="48">
        <v>2009</v>
      </c>
      <c r="D60" s="74" t="s">
        <v>408</v>
      </c>
      <c r="E60" s="46" t="s">
        <v>16</v>
      </c>
      <c r="F60" s="50" t="s">
        <v>410</v>
      </c>
      <c r="G60" s="48" t="s">
        <v>427</v>
      </c>
      <c r="H60" s="48" t="s">
        <v>39</v>
      </c>
      <c r="I60" s="48"/>
      <c r="J60" s="87" t="s">
        <v>704</v>
      </c>
      <c r="K60" s="48" t="s">
        <v>613</v>
      </c>
      <c r="L60" s="48" t="s">
        <v>449</v>
      </c>
      <c r="M60" s="56"/>
      <c r="N60" s="56"/>
      <c r="O60" s="48" t="s">
        <v>91</v>
      </c>
      <c r="P60" s="52"/>
      <c r="Q60" s="52"/>
      <c r="R60" s="48"/>
      <c r="S60" s="53"/>
      <c r="T60" s="53"/>
      <c r="U60" s="54">
        <v>0.91300000000000003</v>
      </c>
      <c r="V60" s="53"/>
      <c r="W60" s="53"/>
      <c r="X60" s="172">
        <f t="shared" si="2"/>
        <v>0.91300000000000003</v>
      </c>
      <c r="Y60" s="185">
        <v>1.1000000000000001</v>
      </c>
      <c r="Z60" s="173" t="str">
        <f t="shared" si="3"/>
        <v>F</v>
      </c>
      <c r="AA60" s="175" t="s">
        <v>813</v>
      </c>
      <c r="AB60" s="176">
        <f>AVERAGE($Y$59:$Y$80)</f>
        <v>0.91895454545454536</v>
      </c>
      <c r="AC60" s="176">
        <f>MEDIAN($Y$59:$Y$80)</f>
        <v>0.57650000000000001</v>
      </c>
      <c r="AD60" s="176">
        <f>MAX($Y$59:$Y$80)</f>
        <v>2.86</v>
      </c>
      <c r="AE60" s="176">
        <f>MIN($Y$59:$Y$80)</f>
        <v>0.2</v>
      </c>
      <c r="AF60" s="176">
        <f>STDEV($Y$59:$Y$80)</f>
        <v>0.78448803306741</v>
      </c>
      <c r="AG60" s="231">
        <f>COUNT($Y$59:$Y$80)</f>
        <v>22</v>
      </c>
    </row>
    <row r="61" spans="1:33" s="104" customFormat="1">
      <c r="A61" s="47">
        <v>172</v>
      </c>
      <c r="B61" s="48" t="s">
        <v>302</v>
      </c>
      <c r="C61" s="48">
        <v>2010</v>
      </c>
      <c r="D61" s="48" t="s">
        <v>303</v>
      </c>
      <c r="E61" s="46" t="s">
        <v>305</v>
      </c>
      <c r="F61" s="50">
        <v>40219</v>
      </c>
      <c r="G61" s="48" t="s">
        <v>306</v>
      </c>
      <c r="H61" s="48" t="s">
        <v>39</v>
      </c>
      <c r="I61" s="48"/>
      <c r="J61" s="87" t="s">
        <v>704</v>
      </c>
      <c r="K61" s="48" t="s">
        <v>614</v>
      </c>
      <c r="L61" s="48" t="s">
        <v>309</v>
      </c>
      <c r="M61" s="51" t="s">
        <v>93</v>
      </c>
      <c r="N61" s="51" t="s">
        <v>310</v>
      </c>
      <c r="O61" s="48"/>
      <c r="P61" s="52"/>
      <c r="Q61" s="52"/>
      <c r="R61" s="48"/>
      <c r="S61" s="53"/>
      <c r="T61" s="53"/>
      <c r="U61" s="55">
        <v>0.93899999999999995</v>
      </c>
      <c r="V61" s="54"/>
      <c r="W61" s="54"/>
      <c r="X61" s="172">
        <f t="shared" si="2"/>
        <v>0.93899999999999995</v>
      </c>
      <c r="Y61" s="183">
        <v>0.65</v>
      </c>
      <c r="Z61" s="173" t="str">
        <f t="shared" si="3"/>
        <v>F</v>
      </c>
    </row>
    <row r="62" spans="1:33" s="104" customFormat="1">
      <c r="A62" s="47">
        <v>174</v>
      </c>
      <c r="B62" s="48" t="s">
        <v>407</v>
      </c>
      <c r="C62" s="48">
        <v>2009</v>
      </c>
      <c r="D62" s="74" t="s">
        <v>408</v>
      </c>
      <c r="E62" s="46" t="s">
        <v>16</v>
      </c>
      <c r="F62" s="50" t="s">
        <v>410</v>
      </c>
      <c r="G62" s="48" t="s">
        <v>427</v>
      </c>
      <c r="H62" s="48" t="s">
        <v>39</v>
      </c>
      <c r="I62" s="48"/>
      <c r="J62" s="87" t="s">
        <v>704</v>
      </c>
      <c r="K62" s="48" t="s">
        <v>614</v>
      </c>
      <c r="L62" s="48" t="s">
        <v>92</v>
      </c>
      <c r="M62" s="56"/>
      <c r="N62" s="56"/>
      <c r="O62" s="48" t="s">
        <v>92</v>
      </c>
      <c r="P62" s="52"/>
      <c r="Q62" s="52"/>
      <c r="R62" s="48"/>
      <c r="S62" s="53"/>
      <c r="T62" s="53"/>
      <c r="U62" s="54">
        <v>0.91400000000000003</v>
      </c>
      <c r="V62" s="53"/>
      <c r="W62" s="53"/>
      <c r="X62" s="172">
        <f t="shared" si="2"/>
        <v>0.91400000000000003</v>
      </c>
      <c r="Y62" s="185">
        <v>0.4</v>
      </c>
      <c r="Z62" s="173" t="str">
        <f t="shared" si="3"/>
        <v>F</v>
      </c>
    </row>
    <row r="63" spans="1:33" s="104" customFormat="1">
      <c r="A63" s="47">
        <v>172</v>
      </c>
      <c r="B63" s="48" t="s">
        <v>302</v>
      </c>
      <c r="C63" s="48">
        <v>2010</v>
      </c>
      <c r="D63" s="48" t="s">
        <v>303</v>
      </c>
      <c r="E63" s="46" t="s">
        <v>305</v>
      </c>
      <c r="F63" s="50">
        <v>40222</v>
      </c>
      <c r="G63" s="48" t="s">
        <v>311</v>
      </c>
      <c r="H63" s="48" t="s">
        <v>39</v>
      </c>
      <c r="I63" s="48"/>
      <c r="J63" s="87" t="s">
        <v>704</v>
      </c>
      <c r="K63" s="48" t="s">
        <v>611</v>
      </c>
      <c r="L63" s="48" t="s">
        <v>318</v>
      </c>
      <c r="M63" s="51" t="s">
        <v>319</v>
      </c>
      <c r="N63" s="51" t="s">
        <v>320</v>
      </c>
      <c r="O63" s="48"/>
      <c r="P63" s="52"/>
      <c r="Q63" s="52"/>
      <c r="R63" s="48"/>
      <c r="S63" s="53"/>
      <c r="T63" s="53"/>
      <c r="U63" s="55">
        <v>0.94799999999999995</v>
      </c>
      <c r="V63" s="54"/>
      <c r="W63" s="54"/>
      <c r="X63" s="172">
        <f t="shared" si="2"/>
        <v>0.94799999999999995</v>
      </c>
      <c r="Y63" s="183">
        <v>0.55200000000000005</v>
      </c>
      <c r="Z63" s="173" t="str">
        <f t="shared" si="3"/>
        <v>F</v>
      </c>
    </row>
    <row r="64" spans="1:33" s="104" customFormat="1">
      <c r="A64" s="47">
        <v>174</v>
      </c>
      <c r="B64" s="48" t="s">
        <v>407</v>
      </c>
      <c r="C64" s="48">
        <v>2009</v>
      </c>
      <c r="D64" s="74" t="s">
        <v>408</v>
      </c>
      <c r="E64" s="46" t="s">
        <v>16</v>
      </c>
      <c r="F64" s="50" t="s">
        <v>410</v>
      </c>
      <c r="G64" s="48" t="s">
        <v>427</v>
      </c>
      <c r="H64" s="48" t="s">
        <v>39</v>
      </c>
      <c r="I64" s="48"/>
      <c r="J64" s="87" t="s">
        <v>704</v>
      </c>
      <c r="K64" s="48" t="s">
        <v>611</v>
      </c>
      <c r="L64" s="48" t="s">
        <v>94</v>
      </c>
      <c r="M64" s="56"/>
      <c r="N64" s="56"/>
      <c r="O64" s="48" t="s">
        <v>94</v>
      </c>
      <c r="P64" s="52"/>
      <c r="Q64" s="52"/>
      <c r="R64" s="48"/>
      <c r="S64" s="53"/>
      <c r="T64" s="53"/>
      <c r="U64" s="54">
        <v>0.89900000000000002</v>
      </c>
      <c r="V64" s="53"/>
      <c r="W64" s="53"/>
      <c r="X64" s="172">
        <f t="shared" si="2"/>
        <v>0.89900000000000002</v>
      </c>
      <c r="Y64" s="185">
        <v>0.5</v>
      </c>
      <c r="Z64" s="173" t="str">
        <f t="shared" si="3"/>
        <v>S</v>
      </c>
    </row>
    <row r="65" spans="1:26" s="104" customFormat="1">
      <c r="A65" s="47">
        <v>172</v>
      </c>
      <c r="B65" s="48" t="s">
        <v>302</v>
      </c>
      <c r="C65" s="48">
        <v>2010</v>
      </c>
      <c r="D65" s="48" t="s">
        <v>303</v>
      </c>
      <c r="E65" s="46" t="s">
        <v>305</v>
      </c>
      <c r="F65" s="50">
        <v>40223</v>
      </c>
      <c r="G65" s="48" t="s">
        <v>311</v>
      </c>
      <c r="H65" s="48" t="s">
        <v>39</v>
      </c>
      <c r="I65" s="48"/>
      <c r="J65" s="87" t="s">
        <v>704</v>
      </c>
      <c r="K65" s="48" t="s">
        <v>612</v>
      </c>
      <c r="L65" s="48" t="s">
        <v>321</v>
      </c>
      <c r="M65" s="51" t="s">
        <v>322</v>
      </c>
      <c r="N65" s="51" t="s">
        <v>323</v>
      </c>
      <c r="O65" s="48"/>
      <c r="P65" s="52"/>
      <c r="Q65" s="52"/>
      <c r="R65" s="48"/>
      <c r="S65" s="53"/>
      <c r="T65" s="53"/>
      <c r="U65" s="55">
        <v>0.95199999999999996</v>
      </c>
      <c r="V65" s="54"/>
      <c r="W65" s="54"/>
      <c r="X65" s="172">
        <f t="shared" si="2"/>
        <v>0.95199999999999996</v>
      </c>
      <c r="Y65" s="183">
        <v>0.60099999999999998</v>
      </c>
      <c r="Z65" s="173" t="str">
        <f t="shared" si="3"/>
        <v>F</v>
      </c>
    </row>
    <row r="66" spans="1:26" s="104" customFormat="1">
      <c r="A66" s="47">
        <v>173</v>
      </c>
      <c r="B66" s="48" t="s">
        <v>302</v>
      </c>
      <c r="C66" s="48">
        <v>2011</v>
      </c>
      <c r="D66" s="74" t="s">
        <v>352</v>
      </c>
      <c r="E66" s="46" t="s">
        <v>354</v>
      </c>
      <c r="F66" s="50" t="s">
        <v>382</v>
      </c>
      <c r="G66" s="48" t="s">
        <v>383</v>
      </c>
      <c r="H66" s="48" t="s">
        <v>39</v>
      </c>
      <c r="I66" s="48"/>
      <c r="J66" s="87" t="s">
        <v>704</v>
      </c>
      <c r="K66" s="48" t="s">
        <v>612</v>
      </c>
      <c r="L66" s="48" t="s">
        <v>384</v>
      </c>
      <c r="M66" s="56"/>
      <c r="N66" s="56"/>
      <c r="O66" s="48" t="s">
        <v>385</v>
      </c>
      <c r="P66" s="52"/>
      <c r="Q66" s="52"/>
      <c r="R66" s="48"/>
      <c r="S66" s="53"/>
      <c r="T66" s="53"/>
      <c r="U66" s="54">
        <v>0.93300000000000005</v>
      </c>
      <c r="V66" s="53"/>
      <c r="W66" s="53"/>
      <c r="X66" s="172">
        <f t="shared" ref="X66:X80" si="4">IF(R66&lt;&gt;0,IF(R66&gt;1,R66/100,R66),IF(U66&lt;&gt;0,IF(U66&gt;1,U66/100,U66),""))</f>
        <v>0.93300000000000005</v>
      </c>
      <c r="Y66" s="180">
        <v>2.86</v>
      </c>
      <c r="Z66" s="173" t="str">
        <f t="shared" ref="Z66:Z80" si="5">IF(X66&lt;&gt;"",IF(X66&lt;0.9,"S","F"),"")</f>
        <v>F</v>
      </c>
    </row>
    <row r="67" spans="1:26" s="104" customFormat="1">
      <c r="A67" s="47">
        <v>174</v>
      </c>
      <c r="B67" s="48" t="s">
        <v>407</v>
      </c>
      <c r="C67" s="48">
        <v>2009</v>
      </c>
      <c r="D67" s="74" t="s">
        <v>408</v>
      </c>
      <c r="E67" s="46" t="s">
        <v>16</v>
      </c>
      <c r="F67" s="50" t="s">
        <v>410</v>
      </c>
      <c r="G67" s="48" t="s">
        <v>427</v>
      </c>
      <c r="H67" s="48" t="s">
        <v>39</v>
      </c>
      <c r="I67" s="48"/>
      <c r="J67" s="87" t="s">
        <v>704</v>
      </c>
      <c r="K67" s="48" t="s">
        <v>612</v>
      </c>
      <c r="L67" s="48" t="s">
        <v>444</v>
      </c>
      <c r="M67" s="56"/>
      <c r="N67" s="56"/>
      <c r="O67" s="48" t="s">
        <v>51</v>
      </c>
      <c r="P67" s="52"/>
      <c r="Q67" s="52"/>
      <c r="R67" s="48"/>
      <c r="S67" s="53"/>
      <c r="T67" s="53"/>
      <c r="U67" s="54">
        <v>0.90900000000000003</v>
      </c>
      <c r="V67" s="53"/>
      <c r="W67" s="53"/>
      <c r="X67" s="172">
        <f t="shared" si="4"/>
        <v>0.90900000000000003</v>
      </c>
      <c r="Y67" s="185">
        <v>0.5</v>
      </c>
      <c r="Z67" s="173" t="str">
        <f t="shared" si="5"/>
        <v>F</v>
      </c>
    </row>
    <row r="68" spans="1:26" s="104" customFormat="1">
      <c r="A68" s="47">
        <v>173</v>
      </c>
      <c r="B68" s="48" t="s">
        <v>302</v>
      </c>
      <c r="C68" s="48">
        <v>2011</v>
      </c>
      <c r="D68" s="74" t="s">
        <v>352</v>
      </c>
      <c r="E68" s="46" t="s">
        <v>354</v>
      </c>
      <c r="F68" s="50" t="s">
        <v>378</v>
      </c>
      <c r="G68" s="48" t="s">
        <v>311</v>
      </c>
      <c r="H68" s="48" t="s">
        <v>39</v>
      </c>
      <c r="I68" s="48"/>
      <c r="J68" s="87" t="s">
        <v>704</v>
      </c>
      <c r="K68" s="48" t="s">
        <v>623</v>
      </c>
      <c r="L68" s="48" t="s">
        <v>616</v>
      </c>
      <c r="M68" s="56"/>
      <c r="N68" s="56"/>
      <c r="O68" s="48" t="s">
        <v>381</v>
      </c>
      <c r="P68" s="52"/>
      <c r="Q68" s="52"/>
      <c r="R68" s="48"/>
      <c r="S68" s="53"/>
      <c r="T68" s="53"/>
      <c r="U68" s="54">
        <v>0.90300000000000002</v>
      </c>
      <c r="V68" s="53"/>
      <c r="W68" s="53"/>
      <c r="X68" s="172">
        <f t="shared" si="4"/>
        <v>0.90300000000000002</v>
      </c>
      <c r="Y68" s="180">
        <v>1.56</v>
      </c>
      <c r="Z68" s="173" t="str">
        <f t="shared" si="5"/>
        <v>F</v>
      </c>
    </row>
    <row r="69" spans="1:26" s="104" customFormat="1">
      <c r="A69" s="47">
        <v>173</v>
      </c>
      <c r="B69" s="48" t="s">
        <v>302</v>
      </c>
      <c r="C69" s="48">
        <v>2011</v>
      </c>
      <c r="D69" s="74" t="s">
        <v>352</v>
      </c>
      <c r="E69" s="46" t="s">
        <v>354</v>
      </c>
      <c r="F69" s="50" t="s">
        <v>375</v>
      </c>
      <c r="G69" s="48" t="s">
        <v>311</v>
      </c>
      <c r="H69" s="48" t="s">
        <v>39</v>
      </c>
      <c r="I69" s="48"/>
      <c r="J69" s="87" t="s">
        <v>704</v>
      </c>
      <c r="K69" s="48" t="s">
        <v>624</v>
      </c>
      <c r="L69" s="48" t="s">
        <v>376</v>
      </c>
      <c r="M69" s="56"/>
      <c r="N69" s="56"/>
      <c r="O69" s="48" t="s">
        <v>377</v>
      </c>
      <c r="P69" s="52"/>
      <c r="Q69" s="52"/>
      <c r="R69" s="48"/>
      <c r="S69" s="53"/>
      <c r="T69" s="53"/>
      <c r="U69" s="54">
        <v>0.95</v>
      </c>
      <c r="V69" s="53"/>
      <c r="W69" s="53"/>
      <c r="X69" s="172">
        <f t="shared" si="4"/>
        <v>0.95</v>
      </c>
      <c r="Y69" s="180">
        <v>1.76</v>
      </c>
      <c r="Z69" s="173" t="str">
        <f t="shared" si="5"/>
        <v>F</v>
      </c>
    </row>
    <row r="70" spans="1:26" s="104" customFormat="1">
      <c r="A70" s="47">
        <v>173</v>
      </c>
      <c r="B70" s="48" t="s">
        <v>302</v>
      </c>
      <c r="C70" s="48">
        <v>2011</v>
      </c>
      <c r="D70" s="74" t="s">
        <v>352</v>
      </c>
      <c r="E70" s="46" t="s">
        <v>354</v>
      </c>
      <c r="F70" s="50" t="s">
        <v>386</v>
      </c>
      <c r="G70" s="48" t="s">
        <v>387</v>
      </c>
      <c r="H70" s="48" t="s">
        <v>39</v>
      </c>
      <c r="I70" s="48"/>
      <c r="J70" s="87" t="s">
        <v>704</v>
      </c>
      <c r="K70" s="48" t="s">
        <v>624</v>
      </c>
      <c r="L70" s="48" t="s">
        <v>388</v>
      </c>
      <c r="M70" s="56"/>
      <c r="N70" s="56"/>
      <c r="O70" s="48" t="s">
        <v>389</v>
      </c>
      <c r="P70" s="52"/>
      <c r="Q70" s="52"/>
      <c r="R70" s="48"/>
      <c r="S70" s="53"/>
      <c r="T70" s="53"/>
      <c r="U70" s="54">
        <v>0.94699999999999995</v>
      </c>
      <c r="V70" s="53"/>
      <c r="W70" s="53"/>
      <c r="X70" s="172">
        <f t="shared" si="4"/>
        <v>0.94699999999999995</v>
      </c>
      <c r="Y70" s="180">
        <v>2.2799999999999998</v>
      </c>
      <c r="Z70" s="173" t="str">
        <f t="shared" si="5"/>
        <v>F</v>
      </c>
    </row>
    <row r="71" spans="1:26" s="104" customFormat="1">
      <c r="A71" s="47">
        <v>172</v>
      </c>
      <c r="B71" s="48" t="s">
        <v>302</v>
      </c>
      <c r="C71" s="48">
        <v>2010</v>
      </c>
      <c r="D71" s="48" t="s">
        <v>303</v>
      </c>
      <c r="E71" s="46" t="s">
        <v>305</v>
      </c>
      <c r="F71" s="50">
        <v>40220</v>
      </c>
      <c r="G71" s="48" t="s">
        <v>311</v>
      </c>
      <c r="H71" s="48" t="s">
        <v>39</v>
      </c>
      <c r="I71" s="48"/>
      <c r="J71" s="87" t="s">
        <v>704</v>
      </c>
      <c r="K71" s="48" t="s">
        <v>624</v>
      </c>
      <c r="L71" s="48" t="s">
        <v>312</v>
      </c>
      <c r="M71" s="51" t="s">
        <v>313</v>
      </c>
      <c r="N71" s="51" t="s">
        <v>314</v>
      </c>
      <c r="O71" s="48"/>
      <c r="P71" s="52"/>
      <c r="Q71" s="52"/>
      <c r="R71" s="48"/>
      <c r="S71" s="53"/>
      <c r="T71" s="53"/>
      <c r="U71" s="55">
        <v>0.94399999999999995</v>
      </c>
      <c r="V71" s="54"/>
      <c r="W71" s="54"/>
      <c r="X71" s="172">
        <f t="shared" si="4"/>
        <v>0.94399999999999995</v>
      </c>
      <c r="Y71" s="183">
        <v>0.52300000000000002</v>
      </c>
      <c r="Z71" s="173" t="str">
        <f t="shared" si="5"/>
        <v>F</v>
      </c>
    </row>
    <row r="72" spans="1:26" s="104" customFormat="1">
      <c r="A72" s="47">
        <v>172</v>
      </c>
      <c r="B72" s="48" t="s">
        <v>302</v>
      </c>
      <c r="C72" s="48">
        <v>2010</v>
      </c>
      <c r="D72" s="48" t="s">
        <v>303</v>
      </c>
      <c r="E72" s="46" t="s">
        <v>305</v>
      </c>
      <c r="F72" s="50">
        <v>40221</v>
      </c>
      <c r="G72" s="48" t="s">
        <v>311</v>
      </c>
      <c r="H72" s="48" t="s">
        <v>39</v>
      </c>
      <c r="I72" s="48"/>
      <c r="J72" s="87" t="s">
        <v>704</v>
      </c>
      <c r="K72" s="48" t="s">
        <v>624</v>
      </c>
      <c r="L72" s="48" t="s">
        <v>315</v>
      </c>
      <c r="M72" s="51" t="s">
        <v>316</v>
      </c>
      <c r="N72" s="51" t="s">
        <v>317</v>
      </c>
      <c r="O72" s="48"/>
      <c r="P72" s="52"/>
      <c r="Q72" s="52"/>
      <c r="R72" s="48"/>
      <c r="S72" s="53"/>
      <c r="T72" s="53"/>
      <c r="U72" s="55">
        <v>0.93899999999999995</v>
      </c>
      <c r="V72" s="54"/>
      <c r="W72" s="54"/>
      <c r="X72" s="172">
        <f t="shared" si="4"/>
        <v>0.93899999999999995</v>
      </c>
      <c r="Y72" s="183">
        <v>0.33</v>
      </c>
      <c r="Z72" s="173" t="str">
        <f t="shared" si="5"/>
        <v>F</v>
      </c>
    </row>
    <row r="73" spans="1:26" s="104" customFormat="1">
      <c r="A73" s="47">
        <v>173</v>
      </c>
      <c r="B73" s="48" t="s">
        <v>302</v>
      </c>
      <c r="C73" s="48">
        <v>2011</v>
      </c>
      <c r="D73" s="74" t="s">
        <v>352</v>
      </c>
      <c r="E73" s="46" t="s">
        <v>354</v>
      </c>
      <c r="F73" s="50" t="s">
        <v>378</v>
      </c>
      <c r="G73" s="48" t="s">
        <v>311</v>
      </c>
      <c r="H73" s="48" t="s">
        <v>39</v>
      </c>
      <c r="I73" s="48"/>
      <c r="J73" s="87" t="s">
        <v>704</v>
      </c>
      <c r="K73" s="48" t="s">
        <v>624</v>
      </c>
      <c r="L73" s="48" t="s">
        <v>376</v>
      </c>
      <c r="M73" s="56"/>
      <c r="N73" s="56"/>
      <c r="O73" s="48" t="s">
        <v>379</v>
      </c>
      <c r="P73" s="52"/>
      <c r="Q73" s="52"/>
      <c r="R73" s="48"/>
      <c r="S73" s="53"/>
      <c r="T73" s="53"/>
      <c r="U73" s="54">
        <v>0.93799999999999994</v>
      </c>
      <c r="V73" s="53"/>
      <c r="W73" s="53"/>
      <c r="X73" s="172">
        <f t="shared" si="4"/>
        <v>0.93799999999999994</v>
      </c>
      <c r="Y73" s="180">
        <v>2.5499999999999998</v>
      </c>
      <c r="Z73" s="173" t="str">
        <f t="shared" si="5"/>
        <v>F</v>
      </c>
    </row>
    <row r="74" spans="1:26" s="104" customFormat="1">
      <c r="A74" s="47">
        <v>174</v>
      </c>
      <c r="B74" s="48" t="s">
        <v>407</v>
      </c>
      <c r="C74" s="48">
        <v>2009</v>
      </c>
      <c r="D74" s="74" t="s">
        <v>408</v>
      </c>
      <c r="E74" s="46" t="s">
        <v>16</v>
      </c>
      <c r="F74" s="50" t="s">
        <v>410</v>
      </c>
      <c r="G74" s="48"/>
      <c r="H74" s="48"/>
      <c r="I74" s="48"/>
      <c r="J74" s="87" t="s">
        <v>704</v>
      </c>
      <c r="K74" s="48" t="s">
        <v>707</v>
      </c>
      <c r="L74" s="48" t="s">
        <v>431</v>
      </c>
      <c r="M74" s="56"/>
      <c r="N74" s="56"/>
      <c r="O74" s="48" t="s">
        <v>432</v>
      </c>
      <c r="P74" s="52"/>
      <c r="Q74" s="52"/>
      <c r="R74" s="48"/>
      <c r="S74" s="53"/>
      <c r="T74" s="53"/>
      <c r="U74" s="54">
        <v>0.90500000000000003</v>
      </c>
      <c r="V74" s="53"/>
      <c r="W74" s="53"/>
      <c r="X74" s="172">
        <f t="shared" si="4"/>
        <v>0.90500000000000003</v>
      </c>
      <c r="Y74" s="185">
        <v>0.3</v>
      </c>
      <c r="Z74" s="173" t="str">
        <f t="shared" si="5"/>
        <v>F</v>
      </c>
    </row>
    <row r="75" spans="1:26" s="104" customFormat="1">
      <c r="A75" s="47">
        <v>174</v>
      </c>
      <c r="B75" s="48" t="s">
        <v>407</v>
      </c>
      <c r="C75" s="48">
        <v>2009</v>
      </c>
      <c r="D75" s="74" t="s">
        <v>408</v>
      </c>
      <c r="E75" s="46" t="s">
        <v>16</v>
      </c>
      <c r="F75" s="50" t="s">
        <v>410</v>
      </c>
      <c r="G75" s="48" t="s">
        <v>454</v>
      </c>
      <c r="H75" s="48" t="s">
        <v>455</v>
      </c>
      <c r="I75" s="48"/>
      <c r="J75" s="87" t="s">
        <v>704</v>
      </c>
      <c r="K75" s="48" t="s">
        <v>664</v>
      </c>
      <c r="L75" s="48" t="s">
        <v>462</v>
      </c>
      <c r="M75" s="56"/>
      <c r="N75" s="56"/>
      <c r="O75" s="48" t="s">
        <v>463</v>
      </c>
      <c r="P75" s="52"/>
      <c r="Q75" s="52"/>
      <c r="R75" s="48"/>
      <c r="S75" s="53"/>
      <c r="T75" s="53"/>
      <c r="U75" s="54">
        <v>0.93500000000000005</v>
      </c>
      <c r="V75" s="53"/>
      <c r="W75" s="53"/>
      <c r="X75" s="172">
        <f t="shared" si="4"/>
        <v>0.93500000000000005</v>
      </c>
      <c r="Y75" s="185">
        <v>0.5</v>
      </c>
      <c r="Z75" s="173" t="str">
        <f t="shared" si="5"/>
        <v>F</v>
      </c>
    </row>
    <row r="76" spans="1:26" s="104" customFormat="1">
      <c r="A76" s="47">
        <v>197</v>
      </c>
      <c r="B76" s="105" t="s">
        <v>466</v>
      </c>
      <c r="C76" s="48">
        <v>2007</v>
      </c>
      <c r="D76" s="105" t="s">
        <v>513</v>
      </c>
      <c r="E76" s="46" t="s">
        <v>16</v>
      </c>
      <c r="F76" s="48">
        <v>2003</v>
      </c>
      <c r="G76" s="48" t="s">
        <v>125</v>
      </c>
      <c r="H76" s="48" t="s">
        <v>49</v>
      </c>
      <c r="I76" s="48"/>
      <c r="J76" s="87" t="s">
        <v>704</v>
      </c>
      <c r="K76" s="48" t="s">
        <v>655</v>
      </c>
      <c r="L76" s="48" t="s">
        <v>167</v>
      </c>
      <c r="M76" s="48"/>
      <c r="N76" s="48"/>
      <c r="O76" s="48" t="s">
        <v>518</v>
      </c>
      <c r="P76" s="48">
        <v>0.96</v>
      </c>
      <c r="Q76" s="48"/>
      <c r="R76" s="48">
        <f>+P76</f>
        <v>0.96</v>
      </c>
      <c r="S76" s="53">
        <v>0.98</v>
      </c>
      <c r="T76" s="53"/>
      <c r="U76" s="48">
        <f>+S76</f>
        <v>0.98</v>
      </c>
      <c r="V76" s="53">
        <v>0.2</v>
      </c>
      <c r="W76" s="53"/>
      <c r="X76" s="172">
        <f t="shared" si="4"/>
        <v>0.96</v>
      </c>
      <c r="Y76" s="180">
        <f>+V76</f>
        <v>0.2</v>
      </c>
      <c r="Z76" s="173" t="str">
        <f t="shared" si="5"/>
        <v>F</v>
      </c>
    </row>
    <row r="77" spans="1:26" s="104" customFormat="1">
      <c r="A77" s="47">
        <v>197</v>
      </c>
      <c r="B77" s="105" t="s">
        <v>466</v>
      </c>
      <c r="C77" s="48">
        <v>2007</v>
      </c>
      <c r="D77" s="105" t="s">
        <v>513</v>
      </c>
      <c r="E77" s="46" t="s">
        <v>16</v>
      </c>
      <c r="F77" s="48">
        <v>2003</v>
      </c>
      <c r="G77" s="48" t="s">
        <v>125</v>
      </c>
      <c r="H77" s="48" t="s">
        <v>49</v>
      </c>
      <c r="I77" s="48"/>
      <c r="J77" s="87" t="s">
        <v>704</v>
      </c>
      <c r="K77" s="48" t="s">
        <v>655</v>
      </c>
      <c r="L77" s="48" t="s">
        <v>167</v>
      </c>
      <c r="M77" s="48"/>
      <c r="N77" s="48"/>
      <c r="O77" s="48" t="s">
        <v>518</v>
      </c>
      <c r="P77" s="48"/>
      <c r="Q77" s="48"/>
      <c r="R77" s="48">
        <v>0.93</v>
      </c>
      <c r="S77" s="53"/>
      <c r="T77" s="53"/>
      <c r="U77" s="53">
        <v>0.95</v>
      </c>
      <c r="V77" s="53"/>
      <c r="W77" s="53"/>
      <c r="X77" s="172">
        <f t="shared" si="4"/>
        <v>0.93</v>
      </c>
      <c r="Y77" s="180">
        <v>0.3</v>
      </c>
      <c r="Z77" s="173" t="str">
        <f t="shared" si="5"/>
        <v>F</v>
      </c>
    </row>
    <row r="78" spans="1:26" s="104" customFormat="1">
      <c r="A78" s="47">
        <v>197</v>
      </c>
      <c r="B78" s="105" t="s">
        <v>466</v>
      </c>
      <c r="C78" s="48">
        <v>2007</v>
      </c>
      <c r="D78" s="105" t="s">
        <v>513</v>
      </c>
      <c r="E78" s="46" t="s">
        <v>16</v>
      </c>
      <c r="F78" s="48">
        <v>2003</v>
      </c>
      <c r="G78" s="48" t="s">
        <v>125</v>
      </c>
      <c r="H78" s="48" t="s">
        <v>49</v>
      </c>
      <c r="I78" s="48"/>
      <c r="J78" s="87" t="s">
        <v>704</v>
      </c>
      <c r="K78" s="48" t="s">
        <v>655</v>
      </c>
      <c r="L78" s="48" t="s">
        <v>167</v>
      </c>
      <c r="M78" s="48"/>
      <c r="N78" s="48"/>
      <c r="O78" s="48" t="s">
        <v>518</v>
      </c>
      <c r="P78" s="48"/>
      <c r="Q78" s="48">
        <v>0.86</v>
      </c>
      <c r="R78" s="48">
        <f>+Q78</f>
        <v>0.86</v>
      </c>
      <c r="S78" s="53"/>
      <c r="T78" s="53">
        <v>0.88</v>
      </c>
      <c r="U78" s="48">
        <f>+T78</f>
        <v>0.88</v>
      </c>
      <c r="V78" s="53"/>
      <c r="W78" s="53">
        <v>0.7</v>
      </c>
      <c r="X78" s="172">
        <f t="shared" si="4"/>
        <v>0.86</v>
      </c>
      <c r="Y78" s="180">
        <f>+W78</f>
        <v>0.7</v>
      </c>
      <c r="Z78" s="173" t="str">
        <f t="shared" si="5"/>
        <v>S</v>
      </c>
    </row>
    <row r="79" spans="1:26" s="104" customFormat="1">
      <c r="A79" s="47">
        <v>174</v>
      </c>
      <c r="B79" s="48" t="s">
        <v>407</v>
      </c>
      <c r="C79" s="48">
        <v>2009</v>
      </c>
      <c r="D79" s="74" t="s">
        <v>408</v>
      </c>
      <c r="E79" s="46" t="s">
        <v>16</v>
      </c>
      <c r="F79" s="50" t="s">
        <v>410</v>
      </c>
      <c r="G79" s="48" t="s">
        <v>454</v>
      </c>
      <c r="H79" s="48" t="s">
        <v>455</v>
      </c>
      <c r="I79" s="48"/>
      <c r="J79" s="87" t="s">
        <v>704</v>
      </c>
      <c r="K79" s="48" t="s">
        <v>665</v>
      </c>
      <c r="L79" s="48" t="s">
        <v>456</v>
      </c>
      <c r="M79" s="56"/>
      <c r="N79" s="56"/>
      <c r="O79" s="48" t="s">
        <v>457</v>
      </c>
      <c r="P79" s="52"/>
      <c r="Q79" s="52"/>
      <c r="R79" s="48"/>
      <c r="S79" s="53"/>
      <c r="T79" s="53"/>
      <c r="U79" s="54">
        <v>0.95599999999999996</v>
      </c>
      <c r="V79" s="53"/>
      <c r="W79" s="53"/>
      <c r="X79" s="172">
        <f t="shared" si="4"/>
        <v>0.95599999999999996</v>
      </c>
      <c r="Y79" s="185">
        <v>0.2</v>
      </c>
      <c r="Z79" s="173" t="str">
        <f t="shared" si="5"/>
        <v>F</v>
      </c>
    </row>
    <row r="80" spans="1:26" s="104" customFormat="1">
      <c r="A80" s="47">
        <v>172</v>
      </c>
      <c r="B80" s="48" t="s">
        <v>302</v>
      </c>
      <c r="C80" s="48">
        <v>2010</v>
      </c>
      <c r="D80" s="48" t="s">
        <v>303</v>
      </c>
      <c r="E80" s="46" t="s">
        <v>305</v>
      </c>
      <c r="F80" s="50">
        <v>40224</v>
      </c>
      <c r="G80" s="48" t="s">
        <v>324</v>
      </c>
      <c r="H80" s="48" t="s">
        <v>301</v>
      </c>
      <c r="I80" s="48"/>
      <c r="J80" s="87" t="s">
        <v>704</v>
      </c>
      <c r="K80" s="48" t="s">
        <v>681</v>
      </c>
      <c r="L80" s="48" t="s">
        <v>325</v>
      </c>
      <c r="M80" s="51" t="s">
        <v>326</v>
      </c>
      <c r="N80" s="51"/>
      <c r="O80" s="48"/>
      <c r="P80" s="52"/>
      <c r="Q80" s="52"/>
      <c r="R80" s="48"/>
      <c r="S80" s="53"/>
      <c r="T80" s="53"/>
      <c r="U80" s="55">
        <v>0.95399999999999996</v>
      </c>
      <c r="V80" s="54"/>
      <c r="W80" s="54"/>
      <c r="X80" s="172">
        <f t="shared" si="4"/>
        <v>0.95399999999999996</v>
      </c>
      <c r="Y80" s="183">
        <v>0.79</v>
      </c>
      <c r="Z80" s="173" t="str">
        <f t="shared" si="5"/>
        <v>F</v>
      </c>
    </row>
    <row r="84" spans="1:26">
      <c r="A84" s="47">
        <v>174</v>
      </c>
      <c r="B84" s="48" t="s">
        <v>407</v>
      </c>
      <c r="C84" s="48">
        <v>2009</v>
      </c>
      <c r="D84" s="74" t="s">
        <v>408</v>
      </c>
      <c r="E84" s="46" t="s">
        <v>16</v>
      </c>
      <c r="F84" s="50" t="s">
        <v>410</v>
      </c>
      <c r="G84" s="48"/>
      <c r="H84" s="48"/>
      <c r="I84" s="48"/>
      <c r="J84" s="87" t="s">
        <v>598</v>
      </c>
      <c r="K84" s="48" t="s">
        <v>643</v>
      </c>
      <c r="L84" s="48" t="s">
        <v>447</v>
      </c>
      <c r="M84" s="56"/>
      <c r="N84" s="56"/>
      <c r="O84" s="48" t="s">
        <v>448</v>
      </c>
      <c r="P84" s="52"/>
      <c r="Q84" s="52"/>
      <c r="R84" s="48"/>
      <c r="S84" s="53"/>
      <c r="T84" s="53"/>
      <c r="U84" s="54">
        <v>0.92200000000000004</v>
      </c>
      <c r="V84" s="53"/>
      <c r="W84" s="53"/>
      <c r="X84" s="134">
        <f>IF(R84&lt;&gt;0,IF(R84&gt;1,R84/100,R84),IF(U84&lt;&gt;0,IF(U84&gt;1,U84/100,U84),""))</f>
        <v>0.92200000000000004</v>
      </c>
      <c r="Y84" s="185">
        <v>0.5</v>
      </c>
      <c r="Z84" s="135" t="str">
        <f>IF(X84&lt;&gt;"",IF(X84&lt;0.9,"S","F"),"")</f>
        <v>F</v>
      </c>
    </row>
    <row r="85" spans="1:26">
      <c r="A85" s="47">
        <v>174</v>
      </c>
      <c r="B85" s="48" t="s">
        <v>407</v>
      </c>
      <c r="C85" s="48">
        <v>2009</v>
      </c>
      <c r="D85" s="74" t="s">
        <v>408</v>
      </c>
      <c r="E85" s="46" t="s">
        <v>16</v>
      </c>
      <c r="F85" s="50" t="s">
        <v>410</v>
      </c>
      <c r="G85" s="48" t="s">
        <v>458</v>
      </c>
      <c r="H85" s="48"/>
      <c r="I85" s="48"/>
      <c r="J85" s="87" t="s">
        <v>598</v>
      </c>
      <c r="K85" s="48" t="s">
        <v>642</v>
      </c>
      <c r="L85" s="48" t="s">
        <v>459</v>
      </c>
      <c r="M85" s="56"/>
      <c r="N85" s="56"/>
      <c r="O85" s="48" t="s">
        <v>460</v>
      </c>
      <c r="P85" s="52"/>
      <c r="Q85" s="52"/>
      <c r="R85" s="48"/>
      <c r="S85" s="53"/>
      <c r="T85" s="53"/>
      <c r="U85" s="54">
        <v>0.94299999999999995</v>
      </c>
      <c r="V85" s="53"/>
      <c r="W85" s="53"/>
      <c r="X85" s="134">
        <f>IF(R85&lt;&gt;0,IF(R85&gt;1,R85/100,R85),IF(U85&lt;&gt;0,IF(U85&gt;1,U85/100,U85),""))</f>
        <v>0.94299999999999995</v>
      </c>
      <c r="Y85" s="185">
        <v>0.5</v>
      </c>
      <c r="Z85" s="135" t="str">
        <f>IF(X85&lt;&gt;"",IF(X85&lt;0.9,"S","F"),"")</f>
        <v>F</v>
      </c>
    </row>
    <row r="86" spans="1:26">
      <c r="A86" s="47">
        <v>174</v>
      </c>
      <c r="B86" s="48" t="s">
        <v>407</v>
      </c>
      <c r="C86" s="48">
        <v>2009</v>
      </c>
      <c r="D86" s="74" t="s">
        <v>408</v>
      </c>
      <c r="E86" s="46" t="s">
        <v>16</v>
      </c>
      <c r="F86" s="50" t="s">
        <v>410</v>
      </c>
      <c r="G86" s="48" t="s">
        <v>442</v>
      </c>
      <c r="H86" s="48"/>
      <c r="I86" s="48"/>
      <c r="J86" s="87" t="s">
        <v>598</v>
      </c>
      <c r="K86" s="48" t="s">
        <v>644</v>
      </c>
      <c r="L86" s="48" t="s">
        <v>443</v>
      </c>
      <c r="M86" s="56"/>
      <c r="N86" s="56"/>
      <c r="O86" s="48" t="s">
        <v>443</v>
      </c>
      <c r="P86" s="52"/>
      <c r="Q86" s="52"/>
      <c r="R86" s="48"/>
      <c r="S86" s="53"/>
      <c r="T86" s="53"/>
      <c r="U86" s="54">
        <v>0.91100000000000003</v>
      </c>
      <c r="V86" s="53"/>
      <c r="W86" s="53"/>
      <c r="X86" s="134">
        <f>IF(R86&lt;&gt;0,IF(R86&gt;1,R86/100,R86),IF(U86&lt;&gt;0,IF(U86&gt;1,U86/100,U86),""))</f>
        <v>0.91100000000000003</v>
      </c>
      <c r="Y86" s="185">
        <v>0.4</v>
      </c>
      <c r="Z86" s="135" t="str">
        <f>IF(X86&lt;&gt;"",IF(X86&lt;0.9,"S","F"),"")</f>
        <v>F</v>
      </c>
    </row>
  </sheetData>
  <sortState ref="A2:Z83">
    <sortCondition ref="J2:J83"/>
    <sortCondition ref="K2:K83"/>
    <sortCondition ref="Z2:Z83"/>
    <sortCondition descending="1" ref="X2:X83"/>
  </sortState>
  <dataValidations count="1">
    <dataValidation showInputMessage="1" showErrorMessage="1" sqref="A1:A9"/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403"/>
  <sheetViews>
    <sheetView workbookViewId="0">
      <selection activeCell="A5" sqref="A5"/>
    </sheetView>
  </sheetViews>
  <sheetFormatPr baseColWidth="10" defaultColWidth="8.83203125" defaultRowHeight="15" x14ac:dyDescent="0"/>
  <cols>
    <col min="1" max="1" width="17.6640625" style="81" bestFit="1" customWidth="1"/>
    <col min="2" max="2" width="35.1640625" style="81" bestFit="1" customWidth="1"/>
    <col min="3" max="3" width="39.1640625" bestFit="1" customWidth="1"/>
  </cols>
  <sheetData>
    <row r="1" spans="1:3">
      <c r="A1" s="80" t="s">
        <v>702</v>
      </c>
      <c r="B1" s="80" t="s">
        <v>606</v>
      </c>
      <c r="C1" s="36" t="s">
        <v>702</v>
      </c>
    </row>
    <row r="2" spans="1:3">
      <c r="A2" s="39" t="s">
        <v>594</v>
      </c>
      <c r="B2" s="39" t="s">
        <v>718</v>
      </c>
      <c r="C2" t="s">
        <v>594</v>
      </c>
    </row>
    <row r="3" spans="1:3">
      <c r="A3" s="19" t="s">
        <v>594</v>
      </c>
      <c r="B3" s="48" t="s">
        <v>594</v>
      </c>
      <c r="C3" t="s">
        <v>747</v>
      </c>
    </row>
    <row r="4" spans="1:3">
      <c r="A4" s="39" t="s">
        <v>747</v>
      </c>
      <c r="B4" s="39" t="s">
        <v>646</v>
      </c>
      <c r="C4" t="s">
        <v>710</v>
      </c>
    </row>
    <row r="5" spans="1:3">
      <c r="A5" s="82" t="s">
        <v>710</v>
      </c>
      <c r="B5" s="82" t="s">
        <v>676</v>
      </c>
      <c r="C5" t="s">
        <v>750</v>
      </c>
    </row>
    <row r="6" spans="1:3">
      <c r="A6" s="39" t="s">
        <v>710</v>
      </c>
      <c r="B6" s="82" t="s">
        <v>676</v>
      </c>
      <c r="C6" t="s">
        <v>751</v>
      </c>
    </row>
    <row r="7" spans="1:3">
      <c r="A7" s="39" t="s">
        <v>710</v>
      </c>
      <c r="B7" s="39" t="s">
        <v>671</v>
      </c>
      <c r="C7" t="s">
        <v>672</v>
      </c>
    </row>
    <row r="8" spans="1:3">
      <c r="A8" s="39" t="s">
        <v>710</v>
      </c>
      <c r="B8" s="39" t="s">
        <v>671</v>
      </c>
      <c r="C8" t="s">
        <v>673</v>
      </c>
    </row>
    <row r="9" spans="1:3">
      <c r="A9" s="39" t="s">
        <v>710</v>
      </c>
      <c r="B9" s="39" t="s">
        <v>676</v>
      </c>
      <c r="C9" t="s">
        <v>591</v>
      </c>
    </row>
    <row r="10" spans="1:3">
      <c r="A10" s="39" t="s">
        <v>710</v>
      </c>
      <c r="B10" s="39" t="s">
        <v>676</v>
      </c>
      <c r="C10" t="s">
        <v>604</v>
      </c>
    </row>
    <row r="11" spans="1:3">
      <c r="A11" s="39" t="s">
        <v>710</v>
      </c>
      <c r="B11" s="39" t="s">
        <v>676</v>
      </c>
      <c r="C11" t="s">
        <v>703</v>
      </c>
    </row>
    <row r="12" spans="1:3">
      <c r="A12" s="39" t="s">
        <v>710</v>
      </c>
      <c r="B12" s="39" t="s">
        <v>720</v>
      </c>
      <c r="C12" t="s">
        <v>593</v>
      </c>
    </row>
    <row r="13" spans="1:3">
      <c r="A13" s="39" t="s">
        <v>710</v>
      </c>
      <c r="B13" s="39" t="s">
        <v>676</v>
      </c>
      <c r="C13" t="s">
        <v>598</v>
      </c>
    </row>
    <row r="14" spans="1:3">
      <c r="A14" s="39" t="s">
        <v>710</v>
      </c>
      <c r="B14" s="39" t="s">
        <v>677</v>
      </c>
      <c r="C14" t="s">
        <v>749</v>
      </c>
    </row>
    <row r="15" spans="1:3">
      <c r="A15" s="3" t="s">
        <v>710</v>
      </c>
      <c r="B15" s="3" t="s">
        <v>676</v>
      </c>
      <c r="C15" t="s">
        <v>706</v>
      </c>
    </row>
    <row r="16" spans="1:3">
      <c r="A16" s="3" t="s">
        <v>710</v>
      </c>
      <c r="B16" s="3" t="s">
        <v>676</v>
      </c>
      <c r="C16" t="s">
        <v>709</v>
      </c>
    </row>
    <row r="17" spans="1:3">
      <c r="A17" s="3" t="s">
        <v>710</v>
      </c>
      <c r="B17" s="3" t="s">
        <v>671</v>
      </c>
      <c r="C17" t="s">
        <v>658</v>
      </c>
    </row>
    <row r="18" spans="1:3">
      <c r="A18" s="19" t="s">
        <v>710</v>
      </c>
      <c r="B18" s="48" t="s">
        <v>638</v>
      </c>
      <c r="C18" t="s">
        <v>705</v>
      </c>
    </row>
    <row r="19" spans="1:3">
      <c r="A19" s="19" t="s">
        <v>710</v>
      </c>
      <c r="B19" s="74" t="s">
        <v>671</v>
      </c>
      <c r="C19" t="s">
        <v>715</v>
      </c>
    </row>
    <row r="20" spans="1:3">
      <c r="A20" s="19" t="s">
        <v>710</v>
      </c>
      <c r="B20" s="48" t="s">
        <v>677</v>
      </c>
      <c r="C20" t="s">
        <v>704</v>
      </c>
    </row>
    <row r="21" spans="1:3">
      <c r="A21" s="29" t="s">
        <v>710</v>
      </c>
      <c r="B21" s="58" t="s">
        <v>638</v>
      </c>
      <c r="C21" s="28"/>
    </row>
    <row r="22" spans="1:3">
      <c r="A22" s="29" t="s">
        <v>710</v>
      </c>
      <c r="B22" s="58" t="s">
        <v>671</v>
      </c>
      <c r="C22" s="28"/>
    </row>
    <row r="23" spans="1:3">
      <c r="A23" s="29" t="s">
        <v>710</v>
      </c>
      <c r="B23" s="58" t="s">
        <v>671</v>
      </c>
      <c r="C23" s="28"/>
    </row>
    <row r="24" spans="1:3">
      <c r="A24" s="19" t="s">
        <v>710</v>
      </c>
      <c r="B24" s="48" t="s">
        <v>676</v>
      </c>
      <c r="C24" s="28"/>
    </row>
    <row r="25" spans="1:3">
      <c r="A25" s="19" t="s">
        <v>710</v>
      </c>
      <c r="B25" s="48" t="s">
        <v>676</v>
      </c>
      <c r="C25" s="28"/>
    </row>
    <row r="26" spans="1:3">
      <c r="A26" s="29" t="s">
        <v>710</v>
      </c>
      <c r="B26" s="42" t="s">
        <v>638</v>
      </c>
      <c r="C26" s="28"/>
    </row>
    <row r="27" spans="1:3">
      <c r="A27" s="29" t="s">
        <v>710</v>
      </c>
      <c r="B27" s="58" t="s">
        <v>671</v>
      </c>
      <c r="C27" s="28"/>
    </row>
    <row r="28" spans="1:3">
      <c r="A28" s="19" t="s">
        <v>710</v>
      </c>
      <c r="B28" s="48" t="s">
        <v>674</v>
      </c>
      <c r="C28" s="28"/>
    </row>
    <row r="29" spans="1:3">
      <c r="A29" s="19" t="s">
        <v>710</v>
      </c>
      <c r="B29" s="48" t="s">
        <v>671</v>
      </c>
      <c r="C29" s="28"/>
    </row>
    <row r="30" spans="1:3">
      <c r="A30" s="19" t="s">
        <v>710</v>
      </c>
      <c r="B30" s="48" t="s">
        <v>438</v>
      </c>
      <c r="C30" s="28"/>
    </row>
    <row r="31" spans="1:3">
      <c r="A31" s="39" t="s">
        <v>750</v>
      </c>
      <c r="B31" s="39" t="s">
        <v>719</v>
      </c>
      <c r="C31" s="28"/>
    </row>
    <row r="32" spans="1:3">
      <c r="A32" s="39" t="s">
        <v>750</v>
      </c>
      <c r="B32" s="39" t="s">
        <v>626</v>
      </c>
      <c r="C32" s="28"/>
    </row>
    <row r="33" spans="1:3">
      <c r="A33" s="39" t="s">
        <v>750</v>
      </c>
      <c r="B33" s="40" t="s">
        <v>600</v>
      </c>
      <c r="C33" s="28"/>
    </row>
    <row r="34" spans="1:3">
      <c r="A34" s="39" t="s">
        <v>750</v>
      </c>
      <c r="B34" s="39" t="s">
        <v>731</v>
      </c>
      <c r="C34" s="28"/>
    </row>
    <row r="35" spans="1:3">
      <c r="A35" s="19" t="s">
        <v>750</v>
      </c>
      <c r="B35" s="48" t="s">
        <v>626</v>
      </c>
      <c r="C35" s="28"/>
    </row>
    <row r="36" spans="1:3">
      <c r="A36" s="19" t="s">
        <v>750</v>
      </c>
      <c r="B36" s="48" t="s">
        <v>626</v>
      </c>
      <c r="C36" s="28"/>
    </row>
    <row r="37" spans="1:3">
      <c r="A37" s="19" t="s">
        <v>750</v>
      </c>
      <c r="B37" s="48" t="s">
        <v>626</v>
      </c>
      <c r="C37" s="28"/>
    </row>
    <row r="38" spans="1:3">
      <c r="A38" s="19" t="s">
        <v>750</v>
      </c>
      <c r="B38" s="48" t="s">
        <v>675</v>
      </c>
      <c r="C38" s="28"/>
    </row>
    <row r="39" spans="1:3">
      <c r="A39" s="40" t="s">
        <v>751</v>
      </c>
      <c r="B39" s="40" t="s">
        <v>607</v>
      </c>
      <c r="C39" s="28"/>
    </row>
    <row r="40" spans="1:3">
      <c r="A40" s="29" t="s">
        <v>751</v>
      </c>
      <c r="B40" s="48" t="s">
        <v>607</v>
      </c>
      <c r="C40" s="28"/>
    </row>
    <row r="41" spans="1:3">
      <c r="A41" s="3" t="s">
        <v>672</v>
      </c>
      <c r="B41" s="3" t="s">
        <v>752</v>
      </c>
      <c r="C41" s="28"/>
    </row>
    <row r="42" spans="1:3">
      <c r="A42" s="3" t="s">
        <v>672</v>
      </c>
      <c r="B42" s="3" t="s">
        <v>752</v>
      </c>
      <c r="C42" s="28"/>
    </row>
    <row r="43" spans="1:3">
      <c r="A43" s="3" t="s">
        <v>672</v>
      </c>
      <c r="B43" s="3" t="s">
        <v>672</v>
      </c>
      <c r="C43" s="28"/>
    </row>
    <row r="44" spans="1:3">
      <c r="A44" s="3" t="s">
        <v>672</v>
      </c>
      <c r="B44" s="3" t="s">
        <v>672</v>
      </c>
      <c r="C44" s="28"/>
    </row>
    <row r="45" spans="1:3">
      <c r="A45" s="3" t="s">
        <v>672</v>
      </c>
      <c r="B45" s="3" t="s">
        <v>752</v>
      </c>
      <c r="C45" s="28"/>
    </row>
    <row r="46" spans="1:3">
      <c r="A46" s="3" t="s">
        <v>672</v>
      </c>
      <c r="B46" s="3" t="s">
        <v>752</v>
      </c>
      <c r="C46" s="28"/>
    </row>
    <row r="47" spans="1:3">
      <c r="A47" s="19" t="s">
        <v>672</v>
      </c>
      <c r="B47" s="48" t="s">
        <v>672</v>
      </c>
      <c r="C47" s="28"/>
    </row>
    <row r="48" spans="1:3">
      <c r="A48" s="19" t="s">
        <v>672</v>
      </c>
      <c r="B48" s="48" t="s">
        <v>672</v>
      </c>
      <c r="C48" s="28"/>
    </row>
    <row r="49" spans="1:3">
      <c r="A49" s="39" t="s">
        <v>673</v>
      </c>
      <c r="B49" s="39" t="s">
        <v>673</v>
      </c>
      <c r="C49" s="28"/>
    </row>
    <row r="50" spans="1:3">
      <c r="A50" s="39" t="s">
        <v>673</v>
      </c>
      <c r="B50" s="39" t="s">
        <v>673</v>
      </c>
      <c r="C50" s="28"/>
    </row>
    <row r="51" spans="1:3">
      <c r="A51" s="39" t="s">
        <v>673</v>
      </c>
      <c r="B51" s="39" t="s">
        <v>722</v>
      </c>
      <c r="C51" s="28"/>
    </row>
    <row r="52" spans="1:3">
      <c r="A52" s="3" t="s">
        <v>673</v>
      </c>
      <c r="B52" s="3" t="s">
        <v>673</v>
      </c>
      <c r="C52" s="28"/>
    </row>
    <row r="53" spans="1:3">
      <c r="A53" s="3" t="s">
        <v>673</v>
      </c>
      <c r="B53" s="3" t="s">
        <v>673</v>
      </c>
      <c r="C53" s="28"/>
    </row>
    <row r="54" spans="1:3">
      <c r="A54" s="3" t="s">
        <v>673</v>
      </c>
      <c r="B54" s="3" t="s">
        <v>722</v>
      </c>
      <c r="C54" s="28"/>
    </row>
    <row r="55" spans="1:3">
      <c r="A55" s="19" t="s">
        <v>673</v>
      </c>
      <c r="B55" s="48" t="s">
        <v>673</v>
      </c>
      <c r="C55" s="28"/>
    </row>
    <row r="56" spans="1:3">
      <c r="A56" s="29" t="s">
        <v>673</v>
      </c>
      <c r="B56" s="48" t="s">
        <v>673</v>
      </c>
      <c r="C56" s="28"/>
    </row>
    <row r="57" spans="1:3">
      <c r="A57" s="40" t="s">
        <v>591</v>
      </c>
      <c r="B57" s="39" t="s">
        <v>619</v>
      </c>
      <c r="C57" s="28"/>
    </row>
    <row r="58" spans="1:3">
      <c r="A58" s="39" t="s">
        <v>591</v>
      </c>
      <c r="B58" s="39" t="s">
        <v>619</v>
      </c>
      <c r="C58" s="28"/>
    </row>
    <row r="59" spans="1:3">
      <c r="A59" s="39" t="s">
        <v>591</v>
      </c>
      <c r="B59" s="39" t="s">
        <v>732</v>
      </c>
      <c r="C59" s="28"/>
    </row>
    <row r="60" spans="1:3">
      <c r="A60" s="39" t="s">
        <v>591</v>
      </c>
      <c r="B60" s="39" t="s">
        <v>734</v>
      </c>
      <c r="C60" s="28"/>
    </row>
    <row r="61" spans="1:3">
      <c r="A61" s="39" t="s">
        <v>591</v>
      </c>
      <c r="B61" s="40" t="s">
        <v>735</v>
      </c>
      <c r="C61" s="28"/>
    </row>
    <row r="62" spans="1:3">
      <c r="A62" s="39" t="s">
        <v>591</v>
      </c>
      <c r="B62" s="40" t="s">
        <v>737</v>
      </c>
      <c r="C62" s="28"/>
    </row>
    <row r="63" spans="1:3">
      <c r="A63" s="19" t="s">
        <v>591</v>
      </c>
      <c r="B63" s="38" t="s">
        <v>591</v>
      </c>
      <c r="C63" s="28"/>
    </row>
    <row r="64" spans="1:3">
      <c r="A64" s="19" t="s">
        <v>591</v>
      </c>
      <c r="B64" s="48" t="s">
        <v>619</v>
      </c>
      <c r="C64" s="28"/>
    </row>
    <row r="65" spans="1:3">
      <c r="A65" s="19" t="s">
        <v>591</v>
      </c>
      <c r="B65" s="48" t="s">
        <v>619</v>
      </c>
      <c r="C65" s="28"/>
    </row>
    <row r="66" spans="1:3">
      <c r="A66" s="19" t="s">
        <v>591</v>
      </c>
      <c r="B66" s="48" t="s">
        <v>591</v>
      </c>
      <c r="C66" s="28"/>
    </row>
    <row r="67" spans="1:3">
      <c r="A67" s="19" t="s">
        <v>591</v>
      </c>
      <c r="B67" s="48" t="s">
        <v>591</v>
      </c>
      <c r="C67" s="28"/>
    </row>
    <row r="68" spans="1:3">
      <c r="A68" s="19" t="s">
        <v>591</v>
      </c>
      <c r="B68" s="48" t="s">
        <v>639</v>
      </c>
      <c r="C68" s="28"/>
    </row>
    <row r="69" spans="1:3">
      <c r="A69" s="19" t="s">
        <v>591</v>
      </c>
      <c r="B69" s="48" t="s">
        <v>637</v>
      </c>
      <c r="C69" s="28"/>
    </row>
    <row r="70" spans="1:3">
      <c r="A70" s="19" t="s">
        <v>761</v>
      </c>
      <c r="B70" s="48" t="s">
        <v>760</v>
      </c>
      <c r="C70" s="28"/>
    </row>
    <row r="71" spans="1:3">
      <c r="A71" s="19" t="s">
        <v>591</v>
      </c>
      <c r="B71" s="48" t="s">
        <v>639</v>
      </c>
      <c r="C71" s="28"/>
    </row>
    <row r="72" spans="1:3">
      <c r="A72" s="19" t="s">
        <v>591</v>
      </c>
      <c r="B72" s="48" t="s">
        <v>640</v>
      </c>
      <c r="C72" s="28"/>
    </row>
    <row r="73" spans="1:3">
      <c r="A73" s="19" t="s">
        <v>591</v>
      </c>
      <c r="B73" s="48" t="s">
        <v>591</v>
      </c>
      <c r="C73" s="28"/>
    </row>
    <row r="74" spans="1:3">
      <c r="A74" s="40" t="s">
        <v>604</v>
      </c>
      <c r="B74" s="40" t="s">
        <v>617</v>
      </c>
      <c r="C74" s="28"/>
    </row>
    <row r="75" spans="1:3">
      <c r="A75" s="39" t="s">
        <v>604</v>
      </c>
      <c r="B75" s="39" t="s">
        <v>618</v>
      </c>
      <c r="C75" s="28"/>
    </row>
    <row r="76" spans="1:3">
      <c r="A76" s="39" t="s">
        <v>604</v>
      </c>
      <c r="B76" s="39" t="s">
        <v>742</v>
      </c>
      <c r="C76" s="28"/>
    </row>
    <row r="77" spans="1:3">
      <c r="A77" s="39" t="s">
        <v>604</v>
      </c>
      <c r="B77" s="39" t="s">
        <v>632</v>
      </c>
      <c r="C77" s="28"/>
    </row>
    <row r="78" spans="1:3">
      <c r="A78" s="19" t="s">
        <v>604</v>
      </c>
      <c r="B78" s="48" t="s">
        <v>617</v>
      </c>
      <c r="C78" s="28"/>
    </row>
    <row r="79" spans="1:3">
      <c r="A79" s="19" t="s">
        <v>604</v>
      </c>
      <c r="B79" s="48" t="s">
        <v>618</v>
      </c>
      <c r="C79" s="28"/>
    </row>
    <row r="80" spans="1:3">
      <c r="A80" s="19" t="s">
        <v>604</v>
      </c>
      <c r="B80" s="48" t="s">
        <v>632</v>
      </c>
      <c r="C80" s="28"/>
    </row>
    <row r="81" spans="1:3">
      <c r="A81" s="19" t="s">
        <v>604</v>
      </c>
      <c r="B81" s="48" t="s">
        <v>641</v>
      </c>
      <c r="C81" s="28"/>
    </row>
    <row r="82" spans="1:3">
      <c r="A82" s="19" t="s">
        <v>604</v>
      </c>
      <c r="B82" s="48" t="s">
        <v>764</v>
      </c>
      <c r="C82" s="28"/>
    </row>
    <row r="83" spans="1:3">
      <c r="A83" s="39" t="s">
        <v>703</v>
      </c>
      <c r="B83" s="39" t="s">
        <v>703</v>
      </c>
      <c r="C83" s="28"/>
    </row>
    <row r="84" spans="1:3">
      <c r="A84" s="39" t="s">
        <v>703</v>
      </c>
      <c r="B84" s="39" t="s">
        <v>627</v>
      </c>
      <c r="C84" s="28"/>
    </row>
    <row r="85" spans="1:3">
      <c r="A85" s="39" t="s">
        <v>703</v>
      </c>
      <c r="B85" s="39" t="s">
        <v>615</v>
      </c>
      <c r="C85" s="28"/>
    </row>
    <row r="86" spans="1:3">
      <c r="A86" s="39" t="s">
        <v>703</v>
      </c>
      <c r="B86" s="39" t="s">
        <v>615</v>
      </c>
      <c r="C86" s="28"/>
    </row>
    <row r="87" spans="1:3">
      <c r="A87" s="39" t="s">
        <v>703</v>
      </c>
      <c r="B87" s="39" t="s">
        <v>615</v>
      </c>
      <c r="C87" s="28"/>
    </row>
    <row r="88" spans="1:3">
      <c r="A88" s="39" t="s">
        <v>703</v>
      </c>
      <c r="B88" s="39" t="s">
        <v>729</v>
      </c>
      <c r="C88" s="28"/>
    </row>
    <row r="89" spans="1:3">
      <c r="A89" s="39" t="s">
        <v>703</v>
      </c>
      <c r="B89" s="39" t="s">
        <v>729</v>
      </c>
      <c r="C89" s="28"/>
    </row>
    <row r="90" spans="1:3">
      <c r="A90" s="39" t="s">
        <v>703</v>
      </c>
      <c r="B90" s="39" t="s">
        <v>729</v>
      </c>
      <c r="C90" s="28"/>
    </row>
    <row r="91" spans="1:3">
      <c r="A91" s="39" t="s">
        <v>703</v>
      </c>
      <c r="B91" s="39" t="s">
        <v>615</v>
      </c>
      <c r="C91" s="28"/>
    </row>
    <row r="92" spans="1:3">
      <c r="A92" s="39" t="s">
        <v>703</v>
      </c>
      <c r="B92" s="39" t="s">
        <v>621</v>
      </c>
      <c r="C92" s="28"/>
    </row>
    <row r="93" spans="1:3">
      <c r="A93" s="39" t="s">
        <v>703</v>
      </c>
      <c r="B93" s="39" t="s">
        <v>627</v>
      </c>
      <c r="C93" s="28"/>
    </row>
    <row r="94" spans="1:3">
      <c r="A94" s="40" t="s">
        <v>703</v>
      </c>
      <c r="B94" s="39" t="s">
        <v>627</v>
      </c>
      <c r="C94" s="28"/>
    </row>
    <row r="95" spans="1:3">
      <c r="A95" s="39" t="s">
        <v>703</v>
      </c>
      <c r="B95" s="39" t="s">
        <v>730</v>
      </c>
      <c r="C95" s="28"/>
    </row>
    <row r="96" spans="1:3">
      <c r="A96" s="39" t="s">
        <v>703</v>
      </c>
      <c r="B96" s="39" t="s">
        <v>730</v>
      </c>
      <c r="C96" s="28"/>
    </row>
    <row r="97" spans="1:3">
      <c r="A97" s="39" t="s">
        <v>703</v>
      </c>
      <c r="B97" s="39" t="s">
        <v>730</v>
      </c>
      <c r="C97" s="28"/>
    </row>
    <row r="98" spans="1:3">
      <c r="A98" s="39" t="s">
        <v>703</v>
      </c>
      <c r="B98" s="39" t="s">
        <v>736</v>
      </c>
      <c r="C98" s="28"/>
    </row>
    <row r="99" spans="1:3">
      <c r="A99" s="39" t="s">
        <v>703</v>
      </c>
      <c r="B99" s="39" t="s">
        <v>736</v>
      </c>
      <c r="C99" s="28"/>
    </row>
    <row r="100" spans="1:3">
      <c r="A100" s="40" t="s">
        <v>703</v>
      </c>
      <c r="B100" s="40" t="s">
        <v>645</v>
      </c>
      <c r="C100" s="28"/>
    </row>
    <row r="101" spans="1:3">
      <c r="A101" s="39" t="s">
        <v>703</v>
      </c>
      <c r="B101" s="40" t="s">
        <v>645</v>
      </c>
      <c r="C101" s="28"/>
    </row>
    <row r="102" spans="1:3">
      <c r="A102" s="39" t="s">
        <v>703</v>
      </c>
      <c r="B102" s="39" t="s">
        <v>645</v>
      </c>
      <c r="C102" s="28"/>
    </row>
    <row r="103" spans="1:3">
      <c r="A103" s="39" t="s">
        <v>703</v>
      </c>
      <c r="B103" s="39" t="s">
        <v>645</v>
      </c>
      <c r="C103" s="28"/>
    </row>
    <row r="104" spans="1:3">
      <c r="A104" s="39" t="s">
        <v>703</v>
      </c>
      <c r="B104" s="39" t="s">
        <v>615</v>
      </c>
      <c r="C104" s="28"/>
    </row>
    <row r="105" spans="1:3">
      <c r="A105" s="39" t="s">
        <v>703</v>
      </c>
      <c r="B105" s="39" t="s">
        <v>615</v>
      </c>
      <c r="C105" s="28"/>
    </row>
    <row r="106" spans="1:3">
      <c r="A106" s="19" t="s">
        <v>703</v>
      </c>
      <c r="B106" s="38" t="s">
        <v>610</v>
      </c>
      <c r="C106" s="28"/>
    </row>
    <row r="107" spans="1:3">
      <c r="A107" s="29" t="s">
        <v>703</v>
      </c>
      <c r="B107" s="38" t="s">
        <v>610</v>
      </c>
      <c r="C107" s="28"/>
    </row>
    <row r="108" spans="1:3">
      <c r="A108" s="19" t="s">
        <v>703</v>
      </c>
      <c r="B108" s="38" t="s">
        <v>610</v>
      </c>
      <c r="C108" s="28"/>
    </row>
    <row r="109" spans="1:3">
      <c r="A109" s="19" t="s">
        <v>703</v>
      </c>
      <c r="B109" s="48" t="s">
        <v>647</v>
      </c>
    </row>
    <row r="110" spans="1:3">
      <c r="A110" s="19" t="s">
        <v>703</v>
      </c>
      <c r="B110" s="38" t="s">
        <v>610</v>
      </c>
    </row>
    <row r="111" spans="1:3">
      <c r="A111" s="19" t="s">
        <v>703</v>
      </c>
      <c r="B111" s="38" t="s">
        <v>610</v>
      </c>
    </row>
    <row r="112" spans="1:3">
      <c r="A112" s="19" t="s">
        <v>703</v>
      </c>
      <c r="B112" s="38" t="s">
        <v>627</v>
      </c>
    </row>
    <row r="113" spans="1:2">
      <c r="A113" s="19" t="s">
        <v>703</v>
      </c>
      <c r="B113" s="48" t="s">
        <v>620</v>
      </c>
    </row>
    <row r="114" spans="1:2">
      <c r="A114" s="19" t="s">
        <v>703</v>
      </c>
      <c r="B114" s="48" t="s">
        <v>621</v>
      </c>
    </row>
    <row r="115" spans="1:2">
      <c r="A115" s="19" t="s">
        <v>703</v>
      </c>
      <c r="B115" s="48" t="s">
        <v>615</v>
      </c>
    </row>
    <row r="116" spans="1:2">
      <c r="A116" s="19" t="s">
        <v>703</v>
      </c>
      <c r="B116" s="48" t="s">
        <v>622</v>
      </c>
    </row>
    <row r="117" spans="1:2">
      <c r="A117" s="19" t="s">
        <v>703</v>
      </c>
      <c r="B117" s="48" t="s">
        <v>694</v>
      </c>
    </row>
    <row r="118" spans="1:2">
      <c r="A118" s="19" t="s">
        <v>703</v>
      </c>
      <c r="B118" s="48" t="s">
        <v>695</v>
      </c>
    </row>
    <row r="119" spans="1:2">
      <c r="A119" s="19" t="s">
        <v>703</v>
      </c>
      <c r="B119" s="48" t="s">
        <v>696</v>
      </c>
    </row>
    <row r="120" spans="1:2">
      <c r="A120" s="19" t="s">
        <v>703</v>
      </c>
      <c r="B120" s="48" t="s">
        <v>697</v>
      </c>
    </row>
    <row r="121" spans="1:2">
      <c r="A121" s="19" t="s">
        <v>703</v>
      </c>
      <c r="B121" s="48" t="s">
        <v>698</v>
      </c>
    </row>
    <row r="122" spans="1:2">
      <c r="A122" s="19" t="s">
        <v>703</v>
      </c>
      <c r="B122" s="48" t="s">
        <v>699</v>
      </c>
    </row>
    <row r="123" spans="1:2">
      <c r="A123" s="19" t="s">
        <v>703</v>
      </c>
      <c r="B123" s="48" t="s">
        <v>610</v>
      </c>
    </row>
    <row r="124" spans="1:2">
      <c r="A124" s="19" t="s">
        <v>703</v>
      </c>
      <c r="B124" s="48" t="s">
        <v>645</v>
      </c>
    </row>
    <row r="125" spans="1:2">
      <c r="A125" s="19" t="s">
        <v>703</v>
      </c>
      <c r="B125" s="48" t="s">
        <v>647</v>
      </c>
    </row>
    <row r="126" spans="1:2">
      <c r="A126" s="19" t="s">
        <v>703</v>
      </c>
      <c r="B126" s="48" t="s">
        <v>647</v>
      </c>
    </row>
    <row r="127" spans="1:2">
      <c r="A127" s="19" t="s">
        <v>703</v>
      </c>
      <c r="B127" s="70" t="s">
        <v>648</v>
      </c>
    </row>
    <row r="128" spans="1:2">
      <c r="A128" s="19" t="s">
        <v>703</v>
      </c>
      <c r="B128" s="70" t="s">
        <v>648</v>
      </c>
    </row>
    <row r="129" spans="1:2">
      <c r="A129" s="19" t="s">
        <v>703</v>
      </c>
      <c r="B129" s="70" t="s">
        <v>648</v>
      </c>
    </row>
    <row r="130" spans="1:2">
      <c r="A130" s="19" t="s">
        <v>703</v>
      </c>
      <c r="B130" s="70" t="s">
        <v>648</v>
      </c>
    </row>
    <row r="131" spans="1:2">
      <c r="A131" s="39" t="s">
        <v>593</v>
      </c>
      <c r="B131" s="39" t="s">
        <v>609</v>
      </c>
    </row>
    <row r="132" spans="1:2">
      <c r="A132" s="39" t="s">
        <v>593</v>
      </c>
      <c r="B132" s="39" t="s">
        <v>635</v>
      </c>
    </row>
    <row r="133" spans="1:2">
      <c r="A133" s="39" t="s">
        <v>593</v>
      </c>
      <c r="B133" s="39" t="s">
        <v>636</v>
      </c>
    </row>
    <row r="134" spans="1:2">
      <c r="A134" s="39" t="s">
        <v>593</v>
      </c>
      <c r="B134" s="39" t="s">
        <v>733</v>
      </c>
    </row>
    <row r="135" spans="1:2">
      <c r="A135" s="39" t="s">
        <v>593</v>
      </c>
      <c r="B135" s="39" t="s">
        <v>633</v>
      </c>
    </row>
    <row r="136" spans="1:2">
      <c r="A136" s="19" t="s">
        <v>593</v>
      </c>
      <c r="B136" s="48" t="s">
        <v>609</v>
      </c>
    </row>
    <row r="137" spans="1:2">
      <c r="A137" s="19" t="s">
        <v>593</v>
      </c>
      <c r="B137" s="48" t="s">
        <v>700</v>
      </c>
    </row>
    <row r="138" spans="1:2">
      <c r="A138" s="19" t="s">
        <v>593</v>
      </c>
      <c r="B138" s="48" t="s">
        <v>631</v>
      </c>
    </row>
    <row r="139" spans="1:2">
      <c r="A139" s="19" t="s">
        <v>593</v>
      </c>
      <c r="B139" s="48" t="s">
        <v>711</v>
      </c>
    </row>
    <row r="140" spans="1:2">
      <c r="A140" s="19" t="s">
        <v>593</v>
      </c>
      <c r="B140" s="48" t="s">
        <v>633</v>
      </c>
    </row>
    <row r="141" spans="1:2">
      <c r="A141" s="19" t="s">
        <v>593</v>
      </c>
      <c r="B141" s="48" t="s">
        <v>609</v>
      </c>
    </row>
    <row r="142" spans="1:2">
      <c r="A142" s="19" t="s">
        <v>593</v>
      </c>
      <c r="B142" s="48" t="s">
        <v>633</v>
      </c>
    </row>
    <row r="143" spans="1:2">
      <c r="A143" s="19" t="s">
        <v>593</v>
      </c>
      <c r="B143" s="48" t="s">
        <v>635</v>
      </c>
    </row>
    <row r="144" spans="1:2">
      <c r="A144" s="19" t="s">
        <v>593</v>
      </c>
      <c r="B144" s="48" t="s">
        <v>636</v>
      </c>
    </row>
    <row r="145" spans="1:2">
      <c r="A145" s="19" t="s">
        <v>593</v>
      </c>
      <c r="B145" s="48" t="s">
        <v>733</v>
      </c>
    </row>
    <row r="146" spans="1:2">
      <c r="A146" s="19" t="s">
        <v>593</v>
      </c>
      <c r="B146" s="48" t="s">
        <v>633</v>
      </c>
    </row>
    <row r="147" spans="1:2">
      <c r="A147" s="19" t="s">
        <v>598</v>
      </c>
      <c r="B147" s="48" t="s">
        <v>642</v>
      </c>
    </row>
    <row r="148" spans="1:2">
      <c r="A148" s="19" t="s">
        <v>598</v>
      </c>
      <c r="B148" s="48" t="s">
        <v>643</v>
      </c>
    </row>
    <row r="149" spans="1:2">
      <c r="A149" s="19" t="s">
        <v>598</v>
      </c>
      <c r="B149" s="48" t="s">
        <v>644</v>
      </c>
    </row>
    <row r="150" spans="1:2">
      <c r="A150" s="39" t="s">
        <v>748</v>
      </c>
      <c r="B150" s="39" t="s">
        <v>642</v>
      </c>
    </row>
    <row r="151" spans="1:2">
      <c r="A151" s="39" t="s">
        <v>746</v>
      </c>
      <c r="B151" s="39" t="s">
        <v>721</v>
      </c>
    </row>
    <row r="152" spans="1:2">
      <c r="A152" s="39" t="s">
        <v>749</v>
      </c>
      <c r="B152" s="39" t="s">
        <v>643</v>
      </c>
    </row>
    <row r="153" spans="1:2">
      <c r="A153" s="39" t="s">
        <v>749</v>
      </c>
      <c r="B153" s="39" t="s">
        <v>643</v>
      </c>
    </row>
    <row r="154" spans="1:2">
      <c r="A154" s="39" t="s">
        <v>706</v>
      </c>
      <c r="B154" s="39" t="s">
        <v>659</v>
      </c>
    </row>
    <row r="155" spans="1:2">
      <c r="A155" s="39" t="s">
        <v>706</v>
      </c>
      <c r="B155" s="39" t="s">
        <v>659</v>
      </c>
    </row>
    <row r="156" spans="1:2">
      <c r="A156" s="39" t="s">
        <v>706</v>
      </c>
      <c r="B156" s="39" t="s">
        <v>659</v>
      </c>
    </row>
    <row r="157" spans="1:2">
      <c r="A157" s="39" t="s">
        <v>706</v>
      </c>
      <c r="B157" s="39" t="s">
        <v>659</v>
      </c>
    </row>
    <row r="158" spans="1:2">
      <c r="A158" s="39" t="s">
        <v>706</v>
      </c>
      <c r="B158" s="39" t="s">
        <v>659</v>
      </c>
    </row>
    <row r="159" spans="1:2">
      <c r="A159" s="39" t="s">
        <v>706</v>
      </c>
      <c r="B159" s="39" t="s">
        <v>659</v>
      </c>
    </row>
    <row r="160" spans="1:2">
      <c r="A160" s="39" t="s">
        <v>706</v>
      </c>
      <c r="B160" s="39" t="s">
        <v>659</v>
      </c>
    </row>
    <row r="161" spans="1:2">
      <c r="A161" s="39" t="s">
        <v>706</v>
      </c>
      <c r="B161" s="39" t="s">
        <v>657</v>
      </c>
    </row>
    <row r="162" spans="1:2">
      <c r="A162" s="39" t="s">
        <v>706</v>
      </c>
      <c r="B162" s="39" t="s">
        <v>656</v>
      </c>
    </row>
    <row r="163" spans="1:2">
      <c r="A163" s="39" t="s">
        <v>706</v>
      </c>
      <c r="B163" s="39" t="s">
        <v>656</v>
      </c>
    </row>
    <row r="164" spans="1:2">
      <c r="A164" s="39" t="s">
        <v>706</v>
      </c>
      <c r="B164" s="39" t="s">
        <v>717</v>
      </c>
    </row>
    <row r="165" spans="1:2">
      <c r="A165" s="39" t="s">
        <v>706</v>
      </c>
      <c r="B165" s="39" t="s">
        <v>717</v>
      </c>
    </row>
    <row r="166" spans="1:2">
      <c r="A166" s="39" t="s">
        <v>706</v>
      </c>
      <c r="B166" s="39" t="s">
        <v>659</v>
      </c>
    </row>
    <row r="167" spans="1:2">
      <c r="A167" s="39" t="s">
        <v>706</v>
      </c>
      <c r="B167" s="39" t="s">
        <v>659</v>
      </c>
    </row>
    <row r="168" spans="1:2">
      <c r="A168" s="39" t="s">
        <v>706</v>
      </c>
      <c r="B168" s="39" t="s">
        <v>656</v>
      </c>
    </row>
    <row r="169" spans="1:2">
      <c r="A169" s="39" t="s">
        <v>706</v>
      </c>
      <c r="B169" s="39" t="s">
        <v>726</v>
      </c>
    </row>
    <row r="170" spans="1:2">
      <c r="A170" s="39" t="s">
        <v>706</v>
      </c>
      <c r="B170" s="39" t="s">
        <v>727</v>
      </c>
    </row>
    <row r="171" spans="1:2">
      <c r="A171" s="39" t="s">
        <v>706</v>
      </c>
      <c r="B171" s="39" t="s">
        <v>728</v>
      </c>
    </row>
    <row r="172" spans="1:2">
      <c r="A172" s="39" t="s">
        <v>706</v>
      </c>
      <c r="B172" s="39" t="s">
        <v>738</v>
      </c>
    </row>
    <row r="173" spans="1:2">
      <c r="A173" s="39" t="s">
        <v>706</v>
      </c>
      <c r="B173" s="39" t="s">
        <v>739</v>
      </c>
    </row>
    <row r="174" spans="1:2">
      <c r="A174" s="39" t="s">
        <v>706</v>
      </c>
      <c r="B174" s="39" t="s">
        <v>659</v>
      </c>
    </row>
    <row r="175" spans="1:2">
      <c r="A175" s="39" t="s">
        <v>706</v>
      </c>
      <c r="B175" s="39" t="s">
        <v>740</v>
      </c>
    </row>
    <row r="176" spans="1:2">
      <c r="A176" s="39" t="s">
        <v>706</v>
      </c>
      <c r="B176" s="39" t="s">
        <v>656</v>
      </c>
    </row>
    <row r="177" spans="1:2">
      <c r="A177" s="39" t="s">
        <v>706</v>
      </c>
      <c r="B177" s="39" t="s">
        <v>656</v>
      </c>
    </row>
    <row r="178" spans="1:2">
      <c r="A178" s="39" t="s">
        <v>706</v>
      </c>
      <c r="B178" s="39" t="s">
        <v>745</v>
      </c>
    </row>
    <row r="179" spans="1:2">
      <c r="A179" s="3" t="s">
        <v>706</v>
      </c>
      <c r="B179" s="3" t="s">
        <v>659</v>
      </c>
    </row>
    <row r="180" spans="1:2">
      <c r="A180" s="3" t="s">
        <v>706</v>
      </c>
      <c r="B180" s="3" t="s">
        <v>659</v>
      </c>
    </row>
    <row r="181" spans="1:2">
      <c r="A181" s="3" t="s">
        <v>706</v>
      </c>
      <c r="B181" s="3" t="s">
        <v>659</v>
      </c>
    </row>
    <row r="182" spans="1:2">
      <c r="A182" s="3" t="s">
        <v>706</v>
      </c>
      <c r="B182" s="3" t="s">
        <v>659</v>
      </c>
    </row>
    <row r="183" spans="1:2">
      <c r="A183" s="3" t="s">
        <v>706</v>
      </c>
      <c r="B183" s="3" t="s">
        <v>659</v>
      </c>
    </row>
    <row r="184" spans="1:2">
      <c r="A184" s="3" t="s">
        <v>706</v>
      </c>
      <c r="B184" s="3" t="s">
        <v>659</v>
      </c>
    </row>
    <row r="185" spans="1:2">
      <c r="A185" s="3" t="s">
        <v>706</v>
      </c>
      <c r="B185" s="3" t="s">
        <v>659</v>
      </c>
    </row>
    <row r="186" spans="1:2">
      <c r="A186" s="3" t="s">
        <v>706</v>
      </c>
      <c r="B186" s="3" t="s">
        <v>659</v>
      </c>
    </row>
    <row r="187" spans="1:2">
      <c r="A187" s="19" t="s">
        <v>706</v>
      </c>
      <c r="B187" s="48" t="s">
        <v>682</v>
      </c>
    </row>
    <row r="188" spans="1:2">
      <c r="A188" s="19" t="s">
        <v>706</v>
      </c>
      <c r="B188" s="48" t="s">
        <v>654</v>
      </c>
    </row>
    <row r="189" spans="1:2">
      <c r="A189" s="19" t="s">
        <v>706</v>
      </c>
      <c r="B189" s="48" t="s">
        <v>766</v>
      </c>
    </row>
    <row r="190" spans="1:2">
      <c r="A190" s="19" t="s">
        <v>706</v>
      </c>
      <c r="B190" s="48" t="s">
        <v>766</v>
      </c>
    </row>
    <row r="191" spans="1:2">
      <c r="A191" s="19" t="s">
        <v>706</v>
      </c>
      <c r="B191" s="48" t="s">
        <v>653</v>
      </c>
    </row>
    <row r="192" spans="1:2">
      <c r="A192" s="19" t="s">
        <v>706</v>
      </c>
      <c r="B192" s="48" t="s">
        <v>708</v>
      </c>
    </row>
    <row r="193" spans="1:2">
      <c r="A193" s="19" t="s">
        <v>706</v>
      </c>
      <c r="B193" s="48" t="s">
        <v>654</v>
      </c>
    </row>
    <row r="194" spans="1:2">
      <c r="A194" s="19" t="s">
        <v>706</v>
      </c>
      <c r="B194" s="48" t="s">
        <v>656</v>
      </c>
    </row>
    <row r="195" spans="1:2">
      <c r="A195" s="19" t="s">
        <v>706</v>
      </c>
      <c r="B195" s="48" t="s">
        <v>657</v>
      </c>
    </row>
    <row r="196" spans="1:2">
      <c r="A196" s="19" t="s">
        <v>706</v>
      </c>
      <c r="B196" s="48" t="s">
        <v>656</v>
      </c>
    </row>
    <row r="197" spans="1:2">
      <c r="A197" s="19" t="s">
        <v>706</v>
      </c>
      <c r="B197" s="58" t="s">
        <v>659</v>
      </c>
    </row>
    <row r="198" spans="1:2">
      <c r="A198" s="19" t="s">
        <v>706</v>
      </c>
      <c r="B198" s="48" t="s">
        <v>659</v>
      </c>
    </row>
    <row r="199" spans="1:2">
      <c r="A199" s="19" t="s">
        <v>706</v>
      </c>
      <c r="B199" s="48" t="s">
        <v>660</v>
      </c>
    </row>
    <row r="200" spans="1:2">
      <c r="A200" s="19" t="s">
        <v>706</v>
      </c>
      <c r="B200" s="48" t="s">
        <v>661</v>
      </c>
    </row>
    <row r="201" spans="1:2">
      <c r="A201" s="19" t="s">
        <v>706</v>
      </c>
      <c r="B201" s="48" t="s">
        <v>661</v>
      </c>
    </row>
    <row r="202" spans="1:2">
      <c r="A202" s="19" t="s">
        <v>706</v>
      </c>
      <c r="B202" s="48" t="s">
        <v>661</v>
      </c>
    </row>
    <row r="203" spans="1:2">
      <c r="A203" s="19" t="s">
        <v>706</v>
      </c>
      <c r="B203" s="37" t="s">
        <v>701</v>
      </c>
    </row>
    <row r="204" spans="1:2">
      <c r="A204" s="19" t="s">
        <v>706</v>
      </c>
      <c r="B204" s="37" t="s">
        <v>662</v>
      </c>
    </row>
    <row r="205" spans="1:2">
      <c r="A205" s="19" t="s">
        <v>706</v>
      </c>
      <c r="B205" s="37" t="s">
        <v>701</v>
      </c>
    </row>
    <row r="206" spans="1:2">
      <c r="A206" s="19" t="s">
        <v>706</v>
      </c>
      <c r="B206" s="48" t="s">
        <v>659</v>
      </c>
    </row>
    <row r="207" spans="1:2">
      <c r="A207" s="19" t="s">
        <v>706</v>
      </c>
      <c r="B207" s="48" t="s">
        <v>659</v>
      </c>
    </row>
    <row r="208" spans="1:2">
      <c r="A208" s="19" t="s">
        <v>706</v>
      </c>
      <c r="B208" s="48" t="s">
        <v>659</v>
      </c>
    </row>
    <row r="209" spans="1:2">
      <c r="A209" s="19" t="s">
        <v>706</v>
      </c>
      <c r="B209" s="58" t="s">
        <v>661</v>
      </c>
    </row>
    <row r="210" spans="1:2">
      <c r="A210" s="19" t="s">
        <v>706</v>
      </c>
      <c r="B210" s="48" t="s">
        <v>660</v>
      </c>
    </row>
    <row r="211" spans="1:2">
      <c r="A211" s="19" t="s">
        <v>706</v>
      </c>
      <c r="B211" s="48" t="s">
        <v>661</v>
      </c>
    </row>
    <row r="212" spans="1:2">
      <c r="A212" s="19" t="s">
        <v>706</v>
      </c>
      <c r="B212" s="48" t="s">
        <v>663</v>
      </c>
    </row>
    <row r="213" spans="1:2">
      <c r="A213" s="19" t="s">
        <v>706</v>
      </c>
      <c r="B213" s="48" t="s">
        <v>659</v>
      </c>
    </row>
    <row r="214" spans="1:2">
      <c r="A214" s="19" t="s">
        <v>706</v>
      </c>
      <c r="B214" s="48" t="s">
        <v>659</v>
      </c>
    </row>
    <row r="215" spans="1:2">
      <c r="A215" s="19" t="s">
        <v>706</v>
      </c>
      <c r="B215" s="48" t="s">
        <v>659</v>
      </c>
    </row>
    <row r="216" spans="1:2">
      <c r="A216" s="19" t="s">
        <v>706</v>
      </c>
      <c r="B216" s="48" t="s">
        <v>659</v>
      </c>
    </row>
    <row r="217" spans="1:2">
      <c r="A217" s="19" t="s">
        <v>706</v>
      </c>
      <c r="B217" s="48" t="s">
        <v>666</v>
      </c>
    </row>
    <row r="218" spans="1:2">
      <c r="A218" s="19" t="s">
        <v>706</v>
      </c>
      <c r="B218" s="48" t="s">
        <v>666</v>
      </c>
    </row>
    <row r="219" spans="1:2">
      <c r="A219" s="19" t="s">
        <v>706</v>
      </c>
      <c r="B219" s="48" t="s">
        <v>666</v>
      </c>
    </row>
    <row r="220" spans="1:2">
      <c r="A220" s="19" t="s">
        <v>706</v>
      </c>
      <c r="B220" s="48" t="s">
        <v>666</v>
      </c>
    </row>
    <row r="221" spans="1:2">
      <c r="A221" s="19" t="s">
        <v>706</v>
      </c>
      <c r="B221" s="48" t="s">
        <v>666</v>
      </c>
    </row>
    <row r="222" spans="1:2">
      <c r="A222" s="19" t="s">
        <v>706</v>
      </c>
      <c r="B222" s="48" t="s">
        <v>666</v>
      </c>
    </row>
    <row r="223" spans="1:2">
      <c r="A223" s="19" t="s">
        <v>706</v>
      </c>
      <c r="B223" s="48" t="s">
        <v>668</v>
      </c>
    </row>
    <row r="224" spans="1:2">
      <c r="A224" s="48" t="s">
        <v>706</v>
      </c>
      <c r="B224" s="48" t="s">
        <v>656</v>
      </c>
    </row>
    <row r="225" spans="1:2">
      <c r="A225" s="48" t="s">
        <v>706</v>
      </c>
      <c r="B225" s="48" t="s">
        <v>669</v>
      </c>
    </row>
    <row r="226" spans="1:2">
      <c r="A226" s="48" t="s">
        <v>706</v>
      </c>
      <c r="B226" s="58" t="s">
        <v>670</v>
      </c>
    </row>
    <row r="227" spans="1:2">
      <c r="A227" s="48" t="s">
        <v>706</v>
      </c>
      <c r="B227" s="48" t="s">
        <v>656</v>
      </c>
    </row>
    <row r="228" spans="1:2">
      <c r="A228" s="39" t="s">
        <v>709</v>
      </c>
      <c r="B228" s="39" t="s">
        <v>714</v>
      </c>
    </row>
    <row r="229" spans="1:2">
      <c r="A229" s="39" t="s">
        <v>709</v>
      </c>
      <c r="B229" s="40" t="s">
        <v>714</v>
      </c>
    </row>
    <row r="230" spans="1:2">
      <c r="A230" s="39" t="s">
        <v>709</v>
      </c>
      <c r="B230" s="39" t="s">
        <v>716</v>
      </c>
    </row>
    <row r="231" spans="1:2">
      <c r="A231" s="39" t="s">
        <v>709</v>
      </c>
      <c r="B231" s="39" t="s">
        <v>670</v>
      </c>
    </row>
    <row r="232" spans="1:2">
      <c r="A232" s="39" t="s">
        <v>709</v>
      </c>
      <c r="B232" s="39" t="s">
        <v>745</v>
      </c>
    </row>
    <row r="233" spans="1:2">
      <c r="A233" s="39" t="s">
        <v>709</v>
      </c>
      <c r="B233" s="39" t="s">
        <v>758</v>
      </c>
    </row>
    <row r="234" spans="1:2">
      <c r="A234" s="19" t="s">
        <v>709</v>
      </c>
      <c r="B234" s="48" t="s">
        <v>686</v>
      </c>
    </row>
    <row r="235" spans="1:2">
      <c r="A235" s="19" t="s">
        <v>709</v>
      </c>
      <c r="B235" s="48" t="s">
        <v>667</v>
      </c>
    </row>
    <row r="236" spans="1:2">
      <c r="A236" s="19" t="s">
        <v>709</v>
      </c>
      <c r="B236" s="48" t="s">
        <v>667</v>
      </c>
    </row>
    <row r="237" spans="1:2">
      <c r="A237" s="39" t="s">
        <v>658</v>
      </c>
      <c r="B237" s="39" t="s">
        <v>683</v>
      </c>
    </row>
    <row r="238" spans="1:2">
      <c r="A238" s="39" t="s">
        <v>658</v>
      </c>
      <c r="B238" s="39" t="s">
        <v>683</v>
      </c>
    </row>
    <row r="239" spans="1:2">
      <c r="A239" s="39" t="s">
        <v>658</v>
      </c>
      <c r="B239" s="39" t="s">
        <v>683</v>
      </c>
    </row>
    <row r="240" spans="1:2">
      <c r="A240" s="39" t="s">
        <v>705</v>
      </c>
      <c r="B240" s="39" t="s">
        <v>713</v>
      </c>
    </row>
    <row r="241" spans="1:2">
      <c r="A241" s="39" t="s">
        <v>705</v>
      </c>
      <c r="B241" s="39" t="s">
        <v>724</v>
      </c>
    </row>
    <row r="242" spans="1:2">
      <c r="A242" s="39" t="s">
        <v>705</v>
      </c>
      <c r="B242" s="39" t="s">
        <v>724</v>
      </c>
    </row>
    <row r="243" spans="1:2">
      <c r="A243" s="39" t="s">
        <v>705</v>
      </c>
      <c r="B243" s="39" t="s">
        <v>724</v>
      </c>
    </row>
    <row r="244" spans="1:2">
      <c r="A244" s="19" t="s">
        <v>705</v>
      </c>
      <c r="B244" s="58" t="s">
        <v>650</v>
      </c>
    </row>
    <row r="245" spans="1:2">
      <c r="A245" s="19" t="s">
        <v>705</v>
      </c>
      <c r="B245" s="48" t="s">
        <v>651</v>
      </c>
    </row>
    <row r="246" spans="1:2">
      <c r="A246" s="19" t="s">
        <v>705</v>
      </c>
      <c r="B246" s="48" t="s">
        <v>652</v>
      </c>
    </row>
    <row r="247" spans="1:2">
      <c r="A247" s="39" t="s">
        <v>715</v>
      </c>
      <c r="B247" s="39" t="s">
        <v>715</v>
      </c>
    </row>
    <row r="248" spans="1:2">
      <c r="A248" s="3" t="s">
        <v>715</v>
      </c>
      <c r="B248" s="3" t="s">
        <v>754</v>
      </c>
    </row>
    <row r="249" spans="1:2">
      <c r="A249" s="19" t="s">
        <v>707</v>
      </c>
      <c r="B249" s="48" t="s">
        <v>684</v>
      </c>
    </row>
    <row r="250" spans="1:2">
      <c r="A250" s="19" t="s">
        <v>707</v>
      </c>
      <c r="B250" s="48" t="s">
        <v>655</v>
      </c>
    </row>
    <row r="251" spans="1:2">
      <c r="A251" s="19" t="s">
        <v>707</v>
      </c>
      <c r="B251" s="48" t="s">
        <v>684</v>
      </c>
    </row>
    <row r="252" spans="1:2">
      <c r="A252" s="19" t="s">
        <v>707</v>
      </c>
      <c r="B252" s="48" t="s">
        <v>684</v>
      </c>
    </row>
    <row r="253" spans="1:2">
      <c r="A253" s="19" t="s">
        <v>707</v>
      </c>
      <c r="B253" s="48" t="s">
        <v>684</v>
      </c>
    </row>
    <row r="254" spans="1:2">
      <c r="A254" s="19" t="s">
        <v>707</v>
      </c>
      <c r="B254" s="48" t="s">
        <v>655</v>
      </c>
    </row>
    <row r="255" spans="1:2">
      <c r="A255" s="19" t="s">
        <v>707</v>
      </c>
      <c r="B255" s="48" t="s">
        <v>655</v>
      </c>
    </row>
    <row r="256" spans="1:2">
      <c r="A256" s="19" t="s">
        <v>707</v>
      </c>
      <c r="B256" s="48" t="s">
        <v>655</v>
      </c>
    </row>
    <row r="257" spans="1:2">
      <c r="A257" s="19" t="s">
        <v>707</v>
      </c>
      <c r="B257" s="48" t="s">
        <v>664</v>
      </c>
    </row>
    <row r="258" spans="1:2">
      <c r="A258" s="19" t="s">
        <v>707</v>
      </c>
      <c r="B258" s="48" t="s">
        <v>665</v>
      </c>
    </row>
    <row r="259" spans="1:2">
      <c r="A259" s="19" t="s">
        <v>707</v>
      </c>
      <c r="B259" s="48" t="s">
        <v>707</v>
      </c>
    </row>
    <row r="260" spans="1:2">
      <c r="A260" s="48" t="s">
        <v>707</v>
      </c>
      <c r="B260" s="48" t="s">
        <v>655</v>
      </c>
    </row>
    <row r="261" spans="1:2">
      <c r="A261" s="48" t="s">
        <v>707</v>
      </c>
      <c r="B261" s="48" t="s">
        <v>655</v>
      </c>
    </row>
    <row r="262" spans="1:2">
      <c r="A262" s="39" t="s">
        <v>704</v>
      </c>
      <c r="B262" s="39" t="s">
        <v>765</v>
      </c>
    </row>
    <row r="263" spans="1:2">
      <c r="A263" s="39" t="s">
        <v>762</v>
      </c>
      <c r="B263" s="39" t="s">
        <v>686</v>
      </c>
    </row>
    <row r="264" spans="1:2">
      <c r="A264" s="39" t="s">
        <v>704</v>
      </c>
      <c r="B264" s="40" t="s">
        <v>679</v>
      </c>
    </row>
    <row r="265" spans="1:2">
      <c r="A265" s="39" t="s">
        <v>704</v>
      </c>
      <c r="B265" s="39" t="s">
        <v>688</v>
      </c>
    </row>
    <row r="266" spans="1:2">
      <c r="A266" s="39" t="s">
        <v>704</v>
      </c>
      <c r="B266" s="39" t="s">
        <v>679</v>
      </c>
    </row>
    <row r="267" spans="1:2">
      <c r="A267" s="39" t="s">
        <v>704</v>
      </c>
      <c r="B267" s="39" t="s">
        <v>690</v>
      </c>
    </row>
    <row r="268" spans="1:2">
      <c r="A268" s="39" t="s">
        <v>704</v>
      </c>
      <c r="B268" s="39" t="s">
        <v>691</v>
      </c>
    </row>
    <row r="269" spans="1:2">
      <c r="A269" s="39" t="s">
        <v>704</v>
      </c>
      <c r="B269" s="39" t="s">
        <v>692</v>
      </c>
    </row>
    <row r="270" spans="1:2">
      <c r="A270" s="39" t="s">
        <v>704</v>
      </c>
      <c r="B270" s="40" t="s">
        <v>693</v>
      </c>
    </row>
    <row r="271" spans="1:2">
      <c r="A271" s="39" t="s">
        <v>704</v>
      </c>
      <c r="B271" s="39" t="s">
        <v>614</v>
      </c>
    </row>
    <row r="272" spans="1:2">
      <c r="A272" s="39" t="s">
        <v>704</v>
      </c>
      <c r="B272" s="39" t="s">
        <v>614</v>
      </c>
    </row>
    <row r="273" spans="1:2">
      <c r="A273" s="39" t="s">
        <v>704</v>
      </c>
      <c r="B273" s="39" t="s">
        <v>712</v>
      </c>
    </row>
    <row r="274" spans="1:2">
      <c r="A274" s="39" t="s">
        <v>704</v>
      </c>
      <c r="B274" s="39" t="s">
        <v>614</v>
      </c>
    </row>
    <row r="275" spans="1:2">
      <c r="A275" s="39" t="s">
        <v>704</v>
      </c>
      <c r="B275" s="39" t="s">
        <v>614</v>
      </c>
    </row>
    <row r="276" spans="1:2">
      <c r="A276" s="39" t="s">
        <v>704</v>
      </c>
      <c r="B276" s="39" t="s">
        <v>614</v>
      </c>
    </row>
    <row r="277" spans="1:2">
      <c r="A277" s="39" t="s">
        <v>704</v>
      </c>
      <c r="B277" s="39" t="s">
        <v>614</v>
      </c>
    </row>
    <row r="278" spans="1:2">
      <c r="A278" s="39" t="s">
        <v>704</v>
      </c>
      <c r="B278" s="39" t="s">
        <v>614</v>
      </c>
    </row>
    <row r="279" spans="1:2">
      <c r="A279" s="39" t="s">
        <v>704</v>
      </c>
      <c r="B279" s="39" t="s">
        <v>723</v>
      </c>
    </row>
    <row r="280" spans="1:2">
      <c r="A280" s="39" t="s">
        <v>704</v>
      </c>
      <c r="B280" s="39" t="s">
        <v>655</v>
      </c>
    </row>
    <row r="281" spans="1:2">
      <c r="A281" s="39" t="s">
        <v>704</v>
      </c>
      <c r="B281" s="39" t="s">
        <v>725</v>
      </c>
    </row>
    <row r="282" spans="1:2">
      <c r="A282" s="39" t="s">
        <v>704</v>
      </c>
      <c r="B282" s="39" t="s">
        <v>614</v>
      </c>
    </row>
    <row r="283" spans="1:2">
      <c r="A283" s="39" t="s">
        <v>704</v>
      </c>
      <c r="B283" s="39" t="s">
        <v>712</v>
      </c>
    </row>
    <row r="284" spans="1:2">
      <c r="A284" s="39" t="s">
        <v>704</v>
      </c>
      <c r="B284" s="39" t="s">
        <v>679</v>
      </c>
    </row>
    <row r="285" spans="1:2">
      <c r="A285" s="39" t="s">
        <v>704</v>
      </c>
      <c r="B285" s="39" t="s">
        <v>612</v>
      </c>
    </row>
    <row r="286" spans="1:2">
      <c r="A286" s="39" t="s">
        <v>704</v>
      </c>
      <c r="B286" s="39" t="s">
        <v>612</v>
      </c>
    </row>
    <row r="287" spans="1:2">
      <c r="A287" s="39" t="s">
        <v>704</v>
      </c>
      <c r="B287" s="39" t="s">
        <v>712</v>
      </c>
    </row>
    <row r="288" spans="1:2">
      <c r="A288" s="39" t="s">
        <v>704</v>
      </c>
      <c r="B288" s="39" t="s">
        <v>712</v>
      </c>
    </row>
    <row r="289" spans="1:2">
      <c r="A289" s="39" t="s">
        <v>704</v>
      </c>
      <c r="B289" s="39" t="s">
        <v>712</v>
      </c>
    </row>
    <row r="290" spans="1:2">
      <c r="A290" s="39" t="s">
        <v>704</v>
      </c>
      <c r="B290" s="39" t="s">
        <v>612</v>
      </c>
    </row>
    <row r="291" spans="1:2">
      <c r="A291" s="39" t="s">
        <v>704</v>
      </c>
      <c r="B291" s="39" t="s">
        <v>614</v>
      </c>
    </row>
    <row r="292" spans="1:2">
      <c r="A292" s="39" t="s">
        <v>704</v>
      </c>
      <c r="B292" s="39" t="s">
        <v>612</v>
      </c>
    </row>
    <row r="293" spans="1:2">
      <c r="A293" s="39" t="s">
        <v>704</v>
      </c>
      <c r="B293" s="39" t="s">
        <v>725</v>
      </c>
    </row>
    <row r="294" spans="1:2">
      <c r="A294" s="39" t="s">
        <v>704</v>
      </c>
      <c r="B294" s="39" t="s">
        <v>679</v>
      </c>
    </row>
    <row r="295" spans="1:2">
      <c r="A295" s="39" t="s">
        <v>704</v>
      </c>
      <c r="B295" s="39" t="s">
        <v>741</v>
      </c>
    </row>
    <row r="296" spans="1:2">
      <c r="A296" s="39" t="s">
        <v>704</v>
      </c>
      <c r="B296" s="39" t="s">
        <v>664</v>
      </c>
    </row>
    <row r="297" spans="1:2">
      <c r="A297" s="39" t="s">
        <v>704</v>
      </c>
      <c r="B297" s="39" t="s">
        <v>743</v>
      </c>
    </row>
    <row r="298" spans="1:2">
      <c r="A298" s="39" t="s">
        <v>704</v>
      </c>
      <c r="B298" s="39" t="s">
        <v>744</v>
      </c>
    </row>
    <row r="299" spans="1:2">
      <c r="A299" s="39" t="s">
        <v>704</v>
      </c>
      <c r="B299" s="39" t="s">
        <v>741</v>
      </c>
    </row>
    <row r="300" spans="1:2">
      <c r="A300" s="39" t="s">
        <v>704</v>
      </c>
      <c r="B300" s="39" t="s">
        <v>741</v>
      </c>
    </row>
    <row r="301" spans="1:2">
      <c r="A301" s="3" t="s">
        <v>704</v>
      </c>
      <c r="B301" s="3" t="s">
        <v>712</v>
      </c>
    </row>
    <row r="302" spans="1:2">
      <c r="A302" s="3" t="s">
        <v>704</v>
      </c>
      <c r="B302" s="3" t="s">
        <v>614</v>
      </c>
    </row>
    <row r="303" spans="1:2">
      <c r="A303" s="3" t="s">
        <v>704</v>
      </c>
      <c r="B303" s="3" t="s">
        <v>614</v>
      </c>
    </row>
    <row r="304" spans="1:2">
      <c r="A304" s="3" t="s">
        <v>704</v>
      </c>
      <c r="B304" s="3" t="s">
        <v>712</v>
      </c>
    </row>
    <row r="305" spans="1:2">
      <c r="A305" s="3" t="s">
        <v>704</v>
      </c>
      <c r="B305" s="3" t="s">
        <v>614</v>
      </c>
    </row>
    <row r="306" spans="1:2">
      <c r="A306" s="3" t="s">
        <v>704</v>
      </c>
      <c r="B306" s="3" t="s">
        <v>614</v>
      </c>
    </row>
    <row r="307" spans="1:2">
      <c r="A307" s="3" t="s">
        <v>704</v>
      </c>
      <c r="B307" s="3" t="s">
        <v>712</v>
      </c>
    </row>
    <row r="308" spans="1:2">
      <c r="A308" s="3" t="s">
        <v>704</v>
      </c>
      <c r="B308" s="3" t="s">
        <v>614</v>
      </c>
    </row>
    <row r="309" spans="1:2">
      <c r="A309" s="3" t="s">
        <v>704</v>
      </c>
      <c r="B309" s="3" t="s">
        <v>614</v>
      </c>
    </row>
    <row r="310" spans="1:2">
      <c r="A310" s="3" t="s">
        <v>704</v>
      </c>
      <c r="B310" s="3" t="s">
        <v>712</v>
      </c>
    </row>
    <row r="311" spans="1:2">
      <c r="A311" s="3" t="s">
        <v>704</v>
      </c>
      <c r="B311" s="5" t="s">
        <v>614</v>
      </c>
    </row>
    <row r="312" spans="1:2">
      <c r="A312" s="3" t="s">
        <v>704</v>
      </c>
      <c r="B312" s="3" t="s">
        <v>614</v>
      </c>
    </row>
    <row r="313" spans="1:2">
      <c r="A313" s="19" t="s">
        <v>704</v>
      </c>
      <c r="B313" s="48" t="s">
        <v>681</v>
      </c>
    </row>
    <row r="314" spans="1:2">
      <c r="A314" s="19" t="s">
        <v>704</v>
      </c>
      <c r="B314" s="48" t="s">
        <v>624</v>
      </c>
    </row>
    <row r="315" spans="1:2">
      <c r="A315" s="19" t="s">
        <v>704</v>
      </c>
      <c r="B315" s="48" t="s">
        <v>624</v>
      </c>
    </row>
    <row r="316" spans="1:2">
      <c r="A316" s="19" t="s">
        <v>704</v>
      </c>
      <c r="B316" s="48" t="s">
        <v>611</v>
      </c>
    </row>
    <row r="317" spans="1:2">
      <c r="A317" s="19" t="s">
        <v>704</v>
      </c>
      <c r="B317" s="48" t="s">
        <v>612</v>
      </c>
    </row>
    <row r="318" spans="1:2">
      <c r="A318" s="19" t="s">
        <v>704</v>
      </c>
      <c r="B318" s="48" t="s">
        <v>613</v>
      </c>
    </row>
    <row r="319" spans="1:2">
      <c r="A319" s="19" t="s">
        <v>704</v>
      </c>
      <c r="B319" s="48" t="s">
        <v>614</v>
      </c>
    </row>
    <row r="320" spans="1:2">
      <c r="A320" s="19" t="s">
        <v>704</v>
      </c>
      <c r="B320" s="48" t="s">
        <v>623</v>
      </c>
    </row>
    <row r="321" spans="1:2">
      <c r="A321" s="19" t="s">
        <v>704</v>
      </c>
      <c r="B321" s="48" t="s">
        <v>624</v>
      </c>
    </row>
    <row r="322" spans="1:2">
      <c r="A322" s="19" t="s">
        <v>704</v>
      </c>
      <c r="B322" s="48" t="s">
        <v>612</v>
      </c>
    </row>
    <row r="323" spans="1:2">
      <c r="A323" s="19" t="s">
        <v>704</v>
      </c>
      <c r="B323" s="48" t="s">
        <v>624</v>
      </c>
    </row>
    <row r="324" spans="1:2">
      <c r="A324" s="19" t="s">
        <v>704</v>
      </c>
      <c r="B324" s="48" t="s">
        <v>624</v>
      </c>
    </row>
    <row r="325" spans="1:2">
      <c r="A325" s="19" t="s">
        <v>704</v>
      </c>
      <c r="B325" s="48" t="s">
        <v>687</v>
      </c>
    </row>
    <row r="326" spans="1:2">
      <c r="A326" s="19" t="s">
        <v>704</v>
      </c>
      <c r="B326" s="48" t="s">
        <v>688</v>
      </c>
    </row>
    <row r="327" spans="1:2">
      <c r="A327" s="19" t="s">
        <v>704</v>
      </c>
      <c r="B327" s="48" t="s">
        <v>689</v>
      </c>
    </row>
    <row r="328" spans="1:2">
      <c r="A328" s="19" t="s">
        <v>704</v>
      </c>
      <c r="B328" s="48" t="s">
        <v>690</v>
      </c>
    </row>
    <row r="329" spans="1:2">
      <c r="A329" s="19" t="s">
        <v>704</v>
      </c>
      <c r="B329" s="48" t="s">
        <v>691</v>
      </c>
    </row>
    <row r="330" spans="1:2">
      <c r="A330" s="19" t="s">
        <v>704</v>
      </c>
      <c r="B330" s="48" t="s">
        <v>692</v>
      </c>
    </row>
    <row r="331" spans="1:2">
      <c r="A331" s="19" t="s">
        <v>704</v>
      </c>
      <c r="B331" s="48" t="s">
        <v>693</v>
      </c>
    </row>
    <row r="332" spans="1:2">
      <c r="A332" s="19" t="s">
        <v>704</v>
      </c>
      <c r="B332" s="48" t="s">
        <v>614</v>
      </c>
    </row>
    <row r="333" spans="1:2">
      <c r="A333" s="19" t="s">
        <v>704</v>
      </c>
      <c r="B333" s="74" t="s">
        <v>624</v>
      </c>
    </row>
    <row r="334" spans="1:2">
      <c r="A334" s="19" t="s">
        <v>704</v>
      </c>
      <c r="B334" s="74" t="s">
        <v>629</v>
      </c>
    </row>
    <row r="335" spans="1:2">
      <c r="A335" s="19" t="s">
        <v>704</v>
      </c>
      <c r="B335" s="74" t="s">
        <v>630</v>
      </c>
    </row>
    <row r="336" spans="1:2">
      <c r="A336" s="19" t="s">
        <v>704</v>
      </c>
      <c r="B336" s="48" t="s">
        <v>614</v>
      </c>
    </row>
    <row r="337" spans="1:2">
      <c r="A337" s="19" t="s">
        <v>704</v>
      </c>
      <c r="B337" s="48" t="s">
        <v>629</v>
      </c>
    </row>
    <row r="338" spans="1:2">
      <c r="A338" s="19" t="s">
        <v>704</v>
      </c>
      <c r="B338" s="48" t="s">
        <v>629</v>
      </c>
    </row>
    <row r="339" spans="1:2">
      <c r="A339" s="19" t="s">
        <v>704</v>
      </c>
      <c r="B339" s="48" t="s">
        <v>630</v>
      </c>
    </row>
    <row r="340" spans="1:2">
      <c r="A340" s="19" t="s">
        <v>704</v>
      </c>
      <c r="B340" s="84" t="s">
        <v>611</v>
      </c>
    </row>
    <row r="341" spans="1:2">
      <c r="A341" s="19" t="s">
        <v>704</v>
      </c>
      <c r="B341" s="84" t="s">
        <v>614</v>
      </c>
    </row>
    <row r="342" spans="1:2">
      <c r="A342" s="19" t="s">
        <v>704</v>
      </c>
      <c r="B342" s="84" t="s">
        <v>612</v>
      </c>
    </row>
    <row r="343" spans="1:2">
      <c r="A343" s="19" t="s">
        <v>704</v>
      </c>
      <c r="B343" s="84" t="s">
        <v>613</v>
      </c>
    </row>
    <row r="344" spans="1:2">
      <c r="A344" s="19" t="s">
        <v>704</v>
      </c>
      <c r="B344" s="74" t="s">
        <v>612</v>
      </c>
    </row>
    <row r="345" spans="1:2">
      <c r="A345" s="19" t="s">
        <v>704</v>
      </c>
      <c r="B345" s="48" t="s">
        <v>612</v>
      </c>
    </row>
    <row r="346" spans="1:2">
      <c r="A346" s="19" t="s">
        <v>704</v>
      </c>
      <c r="B346" s="48" t="s">
        <v>612</v>
      </c>
    </row>
    <row r="347" spans="1:2">
      <c r="A347" s="19" t="s">
        <v>704</v>
      </c>
      <c r="B347" s="79" t="s">
        <v>614</v>
      </c>
    </row>
    <row r="348" spans="1:2">
      <c r="A348" s="19" t="s">
        <v>704</v>
      </c>
      <c r="B348" s="79" t="s">
        <v>612</v>
      </c>
    </row>
    <row r="349" spans="1:2">
      <c r="A349" s="19" t="s">
        <v>704</v>
      </c>
      <c r="B349" s="79" t="s">
        <v>614</v>
      </c>
    </row>
    <row r="350" spans="1:2">
      <c r="A350" s="48" t="s">
        <v>704</v>
      </c>
      <c r="B350" s="48" t="s">
        <v>679</v>
      </c>
    </row>
    <row r="351" spans="1:2">
      <c r="A351" s="48" t="s">
        <v>704</v>
      </c>
      <c r="B351" s="48" t="s">
        <v>679</v>
      </c>
    </row>
    <row r="352" spans="1:2">
      <c r="A352" s="48" t="s">
        <v>704</v>
      </c>
      <c r="B352" s="48" t="s">
        <v>756</v>
      </c>
    </row>
    <row r="353" spans="1:2">
      <c r="A353" s="48" t="s">
        <v>704</v>
      </c>
      <c r="B353" s="48" t="s">
        <v>679</v>
      </c>
    </row>
    <row r="354" spans="1:2">
      <c r="A354" s="48" t="s">
        <v>704</v>
      </c>
      <c r="B354" s="48" t="s">
        <v>756</v>
      </c>
    </row>
    <row r="355" spans="1:2">
      <c r="A355" s="48" t="s">
        <v>704</v>
      </c>
      <c r="B355" s="48" t="s">
        <v>678</v>
      </c>
    </row>
    <row r="356" spans="1:2">
      <c r="A356" s="48" t="s">
        <v>704</v>
      </c>
      <c r="B356" s="48" t="s">
        <v>679</v>
      </c>
    </row>
    <row r="357" spans="1:2">
      <c r="A357" s="48" t="s">
        <v>704</v>
      </c>
      <c r="B357" s="48" t="s">
        <v>756</v>
      </c>
    </row>
    <row r="358" spans="1:2">
      <c r="A358" s="48" t="s">
        <v>704</v>
      </c>
      <c r="B358" s="48" t="s">
        <v>756</v>
      </c>
    </row>
    <row r="359" spans="1:2">
      <c r="A359" s="48" t="s">
        <v>704</v>
      </c>
      <c r="B359" s="48" t="s">
        <v>678</v>
      </c>
    </row>
    <row r="360" spans="1:2">
      <c r="A360" s="48" t="s">
        <v>704</v>
      </c>
      <c r="B360" s="48" t="s">
        <v>756</v>
      </c>
    </row>
    <row r="361" spans="1:2">
      <c r="A361" s="48" t="s">
        <v>704</v>
      </c>
      <c r="B361" s="48" t="s">
        <v>680</v>
      </c>
    </row>
    <row r="362" spans="1:2">
      <c r="A362" s="58" t="s">
        <v>704</v>
      </c>
      <c r="B362" s="58" t="s">
        <v>756</v>
      </c>
    </row>
    <row r="363" spans="1:2">
      <c r="A363" s="48" t="s">
        <v>704</v>
      </c>
      <c r="B363" s="48" t="s">
        <v>678</v>
      </c>
    </row>
    <row r="364" spans="1:2">
      <c r="A364" s="48" t="s">
        <v>704</v>
      </c>
      <c r="B364" s="48" t="s">
        <v>680</v>
      </c>
    </row>
    <row r="365" spans="1:2">
      <c r="A365" s="48" t="s">
        <v>704</v>
      </c>
      <c r="B365" s="48" t="s">
        <v>680</v>
      </c>
    </row>
    <row r="366" spans="1:2">
      <c r="A366" s="48" t="s">
        <v>704</v>
      </c>
      <c r="B366" s="48" t="s">
        <v>678</v>
      </c>
    </row>
    <row r="367" spans="1:2">
      <c r="A367" s="48" t="s">
        <v>704</v>
      </c>
      <c r="B367" s="48" t="s">
        <v>680</v>
      </c>
    </row>
    <row r="368" spans="1:2">
      <c r="A368" s="19"/>
      <c r="B368" s="48" t="s">
        <v>625</v>
      </c>
    </row>
    <row r="369" spans="1:2">
      <c r="A369" s="19"/>
      <c r="B369" s="48" t="s">
        <v>601</v>
      </c>
    </row>
    <row r="370" spans="1:2">
      <c r="A370" s="19"/>
      <c r="B370" s="48" t="s">
        <v>608</v>
      </c>
    </row>
    <row r="371" spans="1:2">
      <c r="A371" s="19"/>
      <c r="B371" s="48" t="s">
        <v>525</v>
      </c>
    </row>
    <row r="372" spans="1:2">
      <c r="A372" s="19"/>
      <c r="B372" s="48" t="s">
        <v>685</v>
      </c>
    </row>
    <row r="373" spans="1:2">
      <c r="A373" s="19"/>
      <c r="B373" s="48" t="s">
        <v>37</v>
      </c>
    </row>
    <row r="374" spans="1:2">
      <c r="A374" s="19"/>
      <c r="B374" s="48" t="s">
        <v>628</v>
      </c>
    </row>
    <row r="375" spans="1:2">
      <c r="A375" s="19"/>
      <c r="B375" s="48"/>
    </row>
    <row r="376" spans="1:2">
      <c r="A376" s="85" t="s">
        <v>763</v>
      </c>
      <c r="B376" s="48" t="s">
        <v>599</v>
      </c>
    </row>
    <row r="377" spans="1:2">
      <c r="A377" s="48"/>
      <c r="B377" s="48"/>
    </row>
    <row r="378" spans="1:2">
      <c r="A378" s="58"/>
      <c r="B378" s="58"/>
    </row>
    <row r="379" spans="1:2">
      <c r="A379" s="58"/>
      <c r="B379" s="58"/>
    </row>
    <row r="380" spans="1:2">
      <c r="A380" s="48"/>
      <c r="B380" s="48"/>
    </row>
    <row r="381" spans="1:2">
      <c r="A381" s="48"/>
      <c r="B381" s="48"/>
    </row>
    <row r="382" spans="1:2">
      <c r="A382" s="48"/>
      <c r="B382" s="48"/>
    </row>
    <row r="383" spans="1:2">
      <c r="A383" s="48"/>
      <c r="B383" s="48"/>
    </row>
    <row r="384" spans="1:2">
      <c r="A384" s="48"/>
      <c r="B384" s="48"/>
    </row>
    <row r="385" spans="1:2">
      <c r="A385" s="48"/>
      <c r="B385" s="48"/>
    </row>
    <row r="386" spans="1:2">
      <c r="A386" s="48"/>
      <c r="B386" s="48"/>
    </row>
    <row r="387" spans="1:2">
      <c r="A387" s="48"/>
      <c r="B387" s="48"/>
    </row>
    <row r="388" spans="1:2">
      <c r="A388" s="48"/>
      <c r="B388" s="48"/>
    </row>
    <row r="389" spans="1:2">
      <c r="A389" s="48"/>
      <c r="B389" s="48"/>
    </row>
    <row r="390" spans="1:2">
      <c r="A390" s="48"/>
      <c r="B390" s="48"/>
    </row>
    <row r="391" spans="1:2">
      <c r="A391" s="48"/>
      <c r="B391" s="58"/>
    </row>
    <row r="392" spans="1:2">
      <c r="A392" s="48"/>
      <c r="B392" s="48"/>
    </row>
    <row r="393" spans="1:2">
      <c r="A393" s="19"/>
      <c r="B393" s="38"/>
    </row>
    <row r="394" spans="1:2">
      <c r="A394" s="19"/>
      <c r="B394" s="38"/>
    </row>
    <row r="395" spans="1:2">
      <c r="A395" s="19"/>
      <c r="B395" s="83"/>
    </row>
    <row r="396" spans="1:2">
      <c r="A396" s="19"/>
      <c r="B396" s="38"/>
    </row>
    <row r="397" spans="1:2">
      <c r="A397" s="19"/>
      <c r="B397" s="38"/>
    </row>
    <row r="398" spans="1:2">
      <c r="A398" s="19"/>
      <c r="B398" s="38"/>
    </row>
    <row r="399" spans="1:2">
      <c r="A399" s="19"/>
      <c r="B399" s="83"/>
    </row>
    <row r="400" spans="1:2">
      <c r="A400" s="19"/>
      <c r="B400" s="38"/>
    </row>
    <row r="401" spans="1:2">
      <c r="A401" s="19"/>
      <c r="B401" s="38"/>
    </row>
    <row r="402" spans="1:2">
      <c r="A402" s="19"/>
      <c r="B402" s="83"/>
    </row>
    <row r="403" spans="1:2">
      <c r="A403" s="19"/>
      <c r="B403" s="38"/>
    </row>
  </sheetData>
  <autoFilter ref="A1:C374"/>
  <sortState ref="A2:B404">
    <sortCondition ref="A2:A404"/>
  </sortState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H230"/>
  <sheetViews>
    <sheetView workbookViewId="0">
      <pane ySplit="560" topLeftCell="A142"/>
      <selection activeCell="L1" sqref="L1"/>
      <selection pane="bottomLeft" sqref="A1:AD142"/>
    </sheetView>
  </sheetViews>
  <sheetFormatPr baseColWidth="10" defaultColWidth="11" defaultRowHeight="15" x14ac:dyDescent="0"/>
  <cols>
    <col min="1" max="3" width="11" style="19"/>
    <col min="4" max="4" width="17.1640625" style="19" customWidth="1"/>
    <col min="5" max="5" width="19.1640625" style="19" bestFit="1" customWidth="1"/>
    <col min="6" max="6" width="11" style="19" customWidth="1"/>
    <col min="7" max="7" width="22.6640625" style="19" bestFit="1" customWidth="1"/>
    <col min="8" max="9" width="11" style="19"/>
    <col min="10" max="10" width="13.6640625" style="19" bestFit="1" customWidth="1"/>
    <col min="11" max="11" width="23.83203125" style="38" customWidth="1"/>
    <col min="12" max="12" width="18.33203125" style="19" customWidth="1"/>
    <col min="13" max="14" width="11" style="19" customWidth="1"/>
    <col min="15" max="15" width="32" style="19" bestFit="1" customWidth="1"/>
    <col min="16" max="16" width="8.83203125" style="19" bestFit="1" customWidth="1"/>
    <col min="17" max="17" width="9" style="19" bestFit="1" customWidth="1"/>
    <col min="18" max="18" width="5.1640625" style="19" bestFit="1" customWidth="1"/>
    <col min="19" max="19" width="10.5" style="23" bestFit="1" customWidth="1"/>
    <col min="20" max="20" width="10.6640625" style="23" bestFit="1" customWidth="1"/>
    <col min="21" max="21" width="7" style="23" bestFit="1" customWidth="1"/>
    <col min="22" max="22" width="9.33203125" style="23" bestFit="1" customWidth="1"/>
    <col min="23" max="23" width="10.5" style="23" bestFit="1" customWidth="1"/>
    <col min="24" max="24" width="6.1640625" style="23" bestFit="1" customWidth="1"/>
    <col min="25" max="25" width="10.33203125" style="23" bestFit="1" customWidth="1"/>
    <col min="26" max="26" width="10.6640625" style="23" bestFit="1" customWidth="1"/>
    <col min="27" max="28" width="6.1640625" style="23" bestFit="1" customWidth="1"/>
    <col min="29" max="29" width="2.83203125" style="23" customWidth="1"/>
    <col min="30" max="30" width="11" style="19"/>
    <col min="31" max="32" width="11" style="97"/>
    <col min="33" max="33" width="6.1640625" style="19" bestFit="1" customWidth="1"/>
    <col min="34" max="16384" width="11" style="19"/>
  </cols>
  <sheetData>
    <row r="1" spans="1:34" s="38" customFormat="1" ht="15" customHeight="1">
      <c r="A1" s="34" t="s">
        <v>0</v>
      </c>
      <c r="B1" s="44" t="s">
        <v>1</v>
      </c>
      <c r="C1" s="100" t="s">
        <v>2</v>
      </c>
      <c r="D1" s="100" t="s">
        <v>3</v>
      </c>
      <c r="E1" s="44" t="s">
        <v>4</v>
      </c>
      <c r="F1" s="44" t="s">
        <v>5</v>
      </c>
      <c r="G1" s="44" t="s">
        <v>6</v>
      </c>
      <c r="H1" s="44" t="s">
        <v>7</v>
      </c>
      <c r="I1" s="44" t="s">
        <v>589</v>
      </c>
      <c r="J1" s="44" t="s">
        <v>702</v>
      </c>
      <c r="K1" s="88" t="s">
        <v>606</v>
      </c>
      <c r="L1" s="44" t="s">
        <v>8</v>
      </c>
      <c r="M1" s="44" t="s">
        <v>9</v>
      </c>
      <c r="N1" s="44" t="s">
        <v>10</v>
      </c>
      <c r="O1" s="45" t="s">
        <v>11</v>
      </c>
      <c r="P1" s="88" t="s">
        <v>789</v>
      </c>
      <c r="Q1" s="88" t="s">
        <v>790</v>
      </c>
      <c r="R1" s="88" t="s">
        <v>787</v>
      </c>
      <c r="S1" s="88" t="s">
        <v>791</v>
      </c>
      <c r="T1" s="88" t="s">
        <v>792</v>
      </c>
      <c r="U1" s="88" t="s">
        <v>539</v>
      </c>
      <c r="V1" s="88" t="s">
        <v>793</v>
      </c>
      <c r="W1" s="88" t="s">
        <v>794</v>
      </c>
      <c r="X1" s="88" t="s">
        <v>784</v>
      </c>
      <c r="Y1" s="88" t="s">
        <v>795</v>
      </c>
      <c r="Z1" s="88" t="s">
        <v>796</v>
      </c>
      <c r="AA1" s="88" t="s">
        <v>785</v>
      </c>
      <c r="AB1" s="88" t="s">
        <v>786</v>
      </c>
      <c r="AC1" s="101"/>
      <c r="AE1" s="102"/>
      <c r="AF1" s="102"/>
    </row>
    <row r="2" spans="1:34" s="38" customFormat="1" ht="15" customHeight="1">
      <c r="A2" s="47">
        <v>37</v>
      </c>
      <c r="B2" s="52" t="s">
        <v>23</v>
      </c>
      <c r="C2" s="52">
        <v>1982</v>
      </c>
      <c r="D2" s="52" t="s">
        <v>27</v>
      </c>
      <c r="E2" s="46" t="s">
        <v>24</v>
      </c>
      <c r="F2" s="48">
        <v>1989</v>
      </c>
      <c r="G2" s="48" t="s">
        <v>28</v>
      </c>
      <c r="H2" s="48" t="s">
        <v>29</v>
      </c>
      <c r="I2" s="48"/>
      <c r="J2" s="87" t="s">
        <v>706</v>
      </c>
      <c r="K2" s="48" t="s">
        <v>666</v>
      </c>
      <c r="L2" s="48" t="s">
        <v>649</v>
      </c>
      <c r="M2" s="48"/>
      <c r="N2" s="48"/>
      <c r="O2" s="48" t="s">
        <v>34</v>
      </c>
      <c r="P2" s="48"/>
      <c r="Q2" s="48"/>
      <c r="R2" s="48"/>
      <c r="S2" s="53"/>
      <c r="T2" s="53"/>
      <c r="U2" s="53"/>
      <c r="V2" s="53"/>
      <c r="W2" s="53"/>
      <c r="X2" s="180"/>
      <c r="Y2" s="53"/>
      <c r="Z2" s="53"/>
      <c r="AA2" s="180"/>
      <c r="AB2" s="180">
        <v>1.8</v>
      </c>
      <c r="AC2" s="101"/>
      <c r="AD2" s="38">
        <f>COUNT(X2,AA2,AB2)</f>
        <v>1</v>
      </c>
      <c r="AE2" s="102"/>
      <c r="AF2" s="102"/>
    </row>
    <row r="3" spans="1:34" s="38" customFormat="1" ht="15" customHeight="1">
      <c r="A3" s="47">
        <v>37</v>
      </c>
      <c r="B3" s="52" t="s">
        <v>23</v>
      </c>
      <c r="C3" s="52">
        <v>1982</v>
      </c>
      <c r="D3" s="52" t="s">
        <v>27</v>
      </c>
      <c r="E3" s="46" t="s">
        <v>24</v>
      </c>
      <c r="F3" s="48">
        <v>1989</v>
      </c>
      <c r="G3" s="48" t="s">
        <v>28</v>
      </c>
      <c r="H3" s="48" t="s">
        <v>29</v>
      </c>
      <c r="I3" s="48"/>
      <c r="J3" s="87" t="s">
        <v>706</v>
      </c>
      <c r="K3" s="48" t="s">
        <v>666</v>
      </c>
      <c r="L3" s="48" t="s">
        <v>649</v>
      </c>
      <c r="M3" s="48"/>
      <c r="N3" s="48"/>
      <c r="O3" s="48" t="s">
        <v>35</v>
      </c>
      <c r="P3" s="48"/>
      <c r="Q3" s="48"/>
      <c r="R3" s="48"/>
      <c r="S3" s="53"/>
      <c r="T3" s="53"/>
      <c r="U3" s="53"/>
      <c r="V3" s="53"/>
      <c r="W3" s="53"/>
      <c r="X3" s="180"/>
      <c r="Y3" s="53"/>
      <c r="Z3" s="53"/>
      <c r="AA3" s="180"/>
      <c r="AB3" s="180">
        <v>1.9</v>
      </c>
      <c r="AC3" s="101"/>
      <c r="AD3" s="38">
        <f t="shared" ref="AD3:AD66" si="0">COUNT(X3,AA3,AB3)</f>
        <v>1</v>
      </c>
      <c r="AE3" s="104"/>
      <c r="AF3" s="104"/>
      <c r="AG3" s="104"/>
      <c r="AH3" s="104"/>
    </row>
    <row r="4" spans="1:34" s="38" customFormat="1" ht="15" customHeight="1">
      <c r="A4" s="47">
        <v>37</v>
      </c>
      <c r="B4" s="52" t="s">
        <v>23</v>
      </c>
      <c r="C4" s="52">
        <v>1982</v>
      </c>
      <c r="D4" s="52" t="s">
        <v>27</v>
      </c>
      <c r="E4" s="46" t="s">
        <v>24</v>
      </c>
      <c r="F4" s="71">
        <v>29780</v>
      </c>
      <c r="G4" s="48" t="s">
        <v>28</v>
      </c>
      <c r="H4" s="48" t="s">
        <v>29</v>
      </c>
      <c r="I4" s="48"/>
      <c r="J4" s="87" t="s">
        <v>706</v>
      </c>
      <c r="K4" s="48" t="s">
        <v>666</v>
      </c>
      <c r="L4" s="48" t="s">
        <v>649</v>
      </c>
      <c r="M4" s="48"/>
      <c r="N4" s="48"/>
      <c r="O4" s="48" t="s">
        <v>30</v>
      </c>
      <c r="P4" s="48"/>
      <c r="Q4" s="48"/>
      <c r="R4" s="48"/>
      <c r="S4" s="53"/>
      <c r="T4" s="53"/>
      <c r="U4" s="53"/>
      <c r="V4" s="53"/>
      <c r="W4" s="53"/>
      <c r="X4" s="180"/>
      <c r="Y4" s="53"/>
      <c r="Z4" s="53"/>
      <c r="AA4" s="180"/>
      <c r="AB4" s="180">
        <v>1.6</v>
      </c>
      <c r="AC4" s="101"/>
      <c r="AD4" s="38">
        <f t="shared" si="0"/>
        <v>1</v>
      </c>
      <c r="AE4" s="104"/>
      <c r="AF4" s="104"/>
      <c r="AG4" s="104"/>
      <c r="AH4" s="104"/>
    </row>
    <row r="5" spans="1:34" s="38" customFormat="1" ht="15" customHeight="1">
      <c r="A5" s="47">
        <v>37</v>
      </c>
      <c r="B5" s="52" t="s">
        <v>23</v>
      </c>
      <c r="C5" s="52">
        <v>1982</v>
      </c>
      <c r="D5" s="52" t="s">
        <v>27</v>
      </c>
      <c r="E5" s="46" t="s">
        <v>24</v>
      </c>
      <c r="F5" s="71">
        <v>29781</v>
      </c>
      <c r="G5" s="48" t="s">
        <v>28</v>
      </c>
      <c r="H5" s="48" t="s">
        <v>29</v>
      </c>
      <c r="I5" s="48"/>
      <c r="J5" s="87" t="s">
        <v>706</v>
      </c>
      <c r="K5" s="48" t="s">
        <v>666</v>
      </c>
      <c r="L5" s="48" t="s">
        <v>649</v>
      </c>
      <c r="M5" s="48"/>
      <c r="N5" s="48"/>
      <c r="O5" s="48" t="s">
        <v>31</v>
      </c>
      <c r="P5" s="48"/>
      <c r="Q5" s="48"/>
      <c r="R5" s="48"/>
      <c r="S5" s="53"/>
      <c r="T5" s="53"/>
      <c r="U5" s="53"/>
      <c r="V5" s="53"/>
      <c r="W5" s="53"/>
      <c r="X5" s="180"/>
      <c r="Y5" s="53"/>
      <c r="Z5" s="53"/>
      <c r="AA5" s="180"/>
      <c r="AB5" s="180">
        <v>2.6</v>
      </c>
      <c r="AC5" s="101"/>
      <c r="AD5" s="38">
        <f t="shared" si="0"/>
        <v>1</v>
      </c>
      <c r="AE5" s="104"/>
      <c r="AF5" s="104"/>
      <c r="AG5" s="104"/>
      <c r="AH5" s="104"/>
    </row>
    <row r="6" spans="1:34" s="38" customFormat="1" ht="15" customHeight="1">
      <c r="A6" s="47">
        <v>37</v>
      </c>
      <c r="B6" s="52" t="s">
        <v>23</v>
      </c>
      <c r="C6" s="52">
        <v>1982</v>
      </c>
      <c r="D6" s="52" t="s">
        <v>27</v>
      </c>
      <c r="E6" s="46" t="s">
        <v>24</v>
      </c>
      <c r="F6" s="71">
        <v>29781</v>
      </c>
      <c r="G6" s="48" t="s">
        <v>28</v>
      </c>
      <c r="H6" s="48" t="s">
        <v>29</v>
      </c>
      <c r="I6" s="48"/>
      <c r="J6" s="87" t="s">
        <v>706</v>
      </c>
      <c r="K6" s="48" t="s">
        <v>666</v>
      </c>
      <c r="L6" s="48" t="s">
        <v>649</v>
      </c>
      <c r="M6" s="48"/>
      <c r="N6" s="48"/>
      <c r="O6" s="48" t="s">
        <v>32</v>
      </c>
      <c r="P6" s="48"/>
      <c r="Q6" s="48"/>
      <c r="R6" s="48"/>
      <c r="S6" s="53"/>
      <c r="T6" s="53"/>
      <c r="U6" s="53"/>
      <c r="V6" s="53"/>
      <c r="W6" s="53"/>
      <c r="X6" s="180"/>
      <c r="Y6" s="53"/>
      <c r="Z6" s="53"/>
      <c r="AA6" s="180"/>
      <c r="AB6" s="180">
        <v>1.2</v>
      </c>
      <c r="AC6" s="101"/>
      <c r="AD6" s="38">
        <f t="shared" si="0"/>
        <v>1</v>
      </c>
      <c r="AE6" s="104"/>
      <c r="AF6" s="104"/>
      <c r="AG6" s="104"/>
      <c r="AH6" s="104"/>
    </row>
    <row r="7" spans="1:34" s="38" customFormat="1" ht="15" customHeight="1">
      <c r="A7" s="47">
        <v>37</v>
      </c>
      <c r="B7" s="52" t="s">
        <v>23</v>
      </c>
      <c r="C7" s="52">
        <v>1982</v>
      </c>
      <c r="D7" s="52" t="s">
        <v>27</v>
      </c>
      <c r="E7" s="46" t="s">
        <v>24</v>
      </c>
      <c r="F7" s="71">
        <v>29781</v>
      </c>
      <c r="G7" s="48" t="s">
        <v>28</v>
      </c>
      <c r="H7" s="48" t="s">
        <v>29</v>
      </c>
      <c r="I7" s="48"/>
      <c r="J7" s="87" t="s">
        <v>706</v>
      </c>
      <c r="K7" s="48" t="s">
        <v>666</v>
      </c>
      <c r="L7" s="48" t="s">
        <v>649</v>
      </c>
      <c r="M7" s="48"/>
      <c r="N7" s="48"/>
      <c r="O7" s="48" t="s">
        <v>33</v>
      </c>
      <c r="P7" s="48"/>
      <c r="Q7" s="48"/>
      <c r="R7" s="48"/>
      <c r="S7" s="53"/>
      <c r="T7" s="53"/>
      <c r="U7" s="53"/>
      <c r="V7" s="53"/>
      <c r="W7" s="53"/>
      <c r="X7" s="180"/>
      <c r="Y7" s="53"/>
      <c r="Z7" s="53"/>
      <c r="AA7" s="180"/>
      <c r="AB7" s="180">
        <v>2</v>
      </c>
      <c r="AC7" s="101"/>
      <c r="AD7" s="38">
        <f t="shared" si="0"/>
        <v>1</v>
      </c>
      <c r="AE7" s="104"/>
      <c r="AF7" s="104"/>
      <c r="AG7" s="104"/>
      <c r="AH7" s="104"/>
    </row>
    <row r="8" spans="1:34" s="38" customFormat="1" ht="15" customHeight="1">
      <c r="A8" s="47">
        <v>63</v>
      </c>
      <c r="B8" s="52" t="s">
        <v>53</v>
      </c>
      <c r="C8" s="52">
        <v>1989</v>
      </c>
      <c r="D8" s="52" t="s">
        <v>54</v>
      </c>
      <c r="E8" s="72" t="s">
        <v>56</v>
      </c>
      <c r="F8" s="73">
        <v>31749</v>
      </c>
      <c r="G8" s="48" t="s">
        <v>595</v>
      </c>
      <c r="H8" s="74" t="s">
        <v>39</v>
      </c>
      <c r="I8" s="74"/>
      <c r="J8" s="87" t="s">
        <v>704</v>
      </c>
      <c r="K8" s="74" t="s">
        <v>624</v>
      </c>
      <c r="L8" s="75" t="s">
        <v>66</v>
      </c>
      <c r="M8" s="75"/>
      <c r="N8" s="75"/>
      <c r="O8" s="75" t="s">
        <v>41</v>
      </c>
      <c r="P8" s="75"/>
      <c r="Q8" s="75"/>
      <c r="R8" s="48"/>
      <c r="S8" s="53"/>
      <c r="T8" s="53"/>
      <c r="U8" s="76"/>
      <c r="V8" s="76"/>
      <c r="W8" s="76"/>
      <c r="X8" s="181"/>
      <c r="Y8" s="76"/>
      <c r="Z8" s="76"/>
      <c r="AA8" s="181"/>
      <c r="AB8" s="181">
        <v>7.2</v>
      </c>
      <c r="AC8" s="101"/>
      <c r="AD8" s="38">
        <f t="shared" si="0"/>
        <v>1</v>
      </c>
      <c r="AE8" s="104"/>
      <c r="AF8" s="104"/>
      <c r="AG8" s="104"/>
      <c r="AH8" s="104"/>
    </row>
    <row r="9" spans="1:34" s="38" customFormat="1" ht="15" customHeight="1">
      <c r="A9" s="47">
        <v>63</v>
      </c>
      <c r="B9" s="52" t="s">
        <v>53</v>
      </c>
      <c r="C9" s="52">
        <v>1989</v>
      </c>
      <c r="D9" s="52" t="s">
        <v>54</v>
      </c>
      <c r="E9" s="72" t="s">
        <v>56</v>
      </c>
      <c r="F9" s="73">
        <v>32017</v>
      </c>
      <c r="G9" s="48" t="s">
        <v>65</v>
      </c>
      <c r="H9" s="89" t="s">
        <v>550</v>
      </c>
      <c r="I9" s="74"/>
      <c r="J9" s="89" t="s">
        <v>710</v>
      </c>
      <c r="K9" s="89" t="s">
        <v>671</v>
      </c>
      <c r="L9" s="174" t="s">
        <v>822</v>
      </c>
      <c r="M9" s="75"/>
      <c r="N9" s="75"/>
      <c r="O9" s="75" t="s">
        <v>45</v>
      </c>
      <c r="P9" s="75"/>
      <c r="Q9" s="75"/>
      <c r="R9" s="48"/>
      <c r="S9" s="53"/>
      <c r="T9" s="53"/>
      <c r="U9" s="76"/>
      <c r="V9" s="76"/>
      <c r="W9" s="76"/>
      <c r="X9" s="181"/>
      <c r="Y9" s="76"/>
      <c r="Z9" s="76"/>
      <c r="AA9" s="181"/>
      <c r="AB9" s="181">
        <v>3.3</v>
      </c>
      <c r="AC9" s="101"/>
      <c r="AD9" s="38">
        <f t="shared" si="0"/>
        <v>1</v>
      </c>
      <c r="AE9" s="104"/>
      <c r="AF9" s="104"/>
      <c r="AG9" s="104"/>
      <c r="AH9" s="104"/>
    </row>
    <row r="10" spans="1:34" s="38" customFormat="1" ht="15" customHeight="1">
      <c r="A10" s="47">
        <v>63</v>
      </c>
      <c r="B10" s="52" t="s">
        <v>53</v>
      </c>
      <c r="C10" s="52">
        <v>1989</v>
      </c>
      <c r="D10" s="52" t="s">
        <v>54</v>
      </c>
      <c r="E10" s="46" t="s">
        <v>56</v>
      </c>
      <c r="F10" s="71">
        <v>31758</v>
      </c>
      <c r="G10" s="48" t="s">
        <v>57</v>
      </c>
      <c r="H10" s="48" t="s">
        <v>39</v>
      </c>
      <c r="I10" s="48"/>
      <c r="J10" s="87" t="s">
        <v>704</v>
      </c>
      <c r="K10" s="74" t="s">
        <v>629</v>
      </c>
      <c r="L10" s="48" t="s">
        <v>58</v>
      </c>
      <c r="M10" s="48"/>
      <c r="N10" s="48"/>
      <c r="O10" s="48" t="s">
        <v>59</v>
      </c>
      <c r="P10" s="48"/>
      <c r="Q10" s="48"/>
      <c r="R10" s="48"/>
      <c r="S10" s="53"/>
      <c r="T10" s="53"/>
      <c r="U10" s="53"/>
      <c r="V10" s="53"/>
      <c r="W10" s="53"/>
      <c r="X10" s="180"/>
      <c r="Y10" s="53"/>
      <c r="Z10" s="53"/>
      <c r="AA10" s="180"/>
      <c r="AB10" s="180">
        <v>8.9</v>
      </c>
      <c r="AC10" s="101"/>
      <c r="AD10" s="38">
        <f t="shared" si="0"/>
        <v>1</v>
      </c>
      <c r="AE10" s="104"/>
      <c r="AF10" s="104"/>
      <c r="AG10" s="104"/>
      <c r="AH10" s="104"/>
    </row>
    <row r="11" spans="1:34" s="38" customFormat="1" ht="15" customHeight="1">
      <c r="A11" s="47">
        <v>63</v>
      </c>
      <c r="B11" s="52" t="s">
        <v>53</v>
      </c>
      <c r="C11" s="52">
        <v>1989</v>
      </c>
      <c r="D11" s="52" t="s">
        <v>54</v>
      </c>
      <c r="E11" s="46" t="s">
        <v>56</v>
      </c>
      <c r="F11" s="71">
        <v>31950</v>
      </c>
      <c r="G11" s="48" t="s">
        <v>57</v>
      </c>
      <c r="H11" s="48" t="s">
        <v>39</v>
      </c>
      <c r="I11" s="48"/>
      <c r="J11" s="87" t="s">
        <v>704</v>
      </c>
      <c r="K11" s="48" t="s">
        <v>614</v>
      </c>
      <c r="L11" s="48" t="s">
        <v>58</v>
      </c>
      <c r="M11" s="48"/>
      <c r="N11" s="48"/>
      <c r="O11" s="48" t="s">
        <v>43</v>
      </c>
      <c r="P11" s="48"/>
      <c r="Q11" s="48"/>
      <c r="R11" s="48"/>
      <c r="S11" s="53"/>
      <c r="T11" s="53"/>
      <c r="U11" s="53"/>
      <c r="V11" s="53"/>
      <c r="W11" s="53"/>
      <c r="X11" s="180"/>
      <c r="Y11" s="53"/>
      <c r="Z11" s="53"/>
      <c r="AA11" s="180"/>
      <c r="AB11" s="180">
        <v>3.3</v>
      </c>
      <c r="AC11" s="101"/>
      <c r="AD11" s="38">
        <f t="shared" si="0"/>
        <v>1</v>
      </c>
      <c r="AE11" s="104"/>
      <c r="AF11" s="104"/>
      <c r="AG11" s="104"/>
      <c r="AH11" s="104"/>
    </row>
    <row r="12" spans="1:34" s="38" customFormat="1" ht="15" customHeight="1">
      <c r="A12" s="47">
        <v>63</v>
      </c>
      <c r="B12" s="52" t="s">
        <v>53</v>
      </c>
      <c r="C12" s="52">
        <v>1989</v>
      </c>
      <c r="D12" s="52" t="s">
        <v>54</v>
      </c>
      <c r="E12" s="46" t="s">
        <v>56</v>
      </c>
      <c r="F12" s="48" t="s">
        <v>63</v>
      </c>
      <c r="G12" s="48" t="s">
        <v>46</v>
      </c>
      <c r="H12" s="48" t="s">
        <v>29</v>
      </c>
      <c r="I12" s="48" t="s">
        <v>590</v>
      </c>
      <c r="J12" s="87" t="s">
        <v>706</v>
      </c>
      <c r="K12" s="48" t="s">
        <v>659</v>
      </c>
      <c r="L12" s="48" t="s">
        <v>64</v>
      </c>
      <c r="M12" s="48"/>
      <c r="N12" s="48"/>
      <c r="O12" s="48" t="s">
        <v>274</v>
      </c>
      <c r="P12" s="48"/>
      <c r="Q12" s="48"/>
      <c r="R12" s="48"/>
      <c r="S12" s="53"/>
      <c r="T12" s="53"/>
      <c r="U12" s="53"/>
      <c r="V12" s="53"/>
      <c r="W12" s="53"/>
      <c r="X12" s="180"/>
      <c r="Y12" s="53"/>
      <c r="Z12" s="53"/>
      <c r="AA12" s="180"/>
      <c r="AB12" s="180">
        <v>0.81</v>
      </c>
      <c r="AC12" s="101"/>
      <c r="AD12" s="38">
        <f t="shared" si="0"/>
        <v>1</v>
      </c>
      <c r="AE12" s="104"/>
      <c r="AF12" s="104"/>
      <c r="AG12" s="104"/>
      <c r="AH12" s="104"/>
    </row>
    <row r="13" spans="1:34" s="38" customFormat="1" ht="15" customHeight="1">
      <c r="A13" s="47">
        <v>63</v>
      </c>
      <c r="B13" s="52" t="s">
        <v>53</v>
      </c>
      <c r="C13" s="52">
        <v>1989</v>
      </c>
      <c r="D13" s="52" t="s">
        <v>54</v>
      </c>
      <c r="E13" s="108" t="s">
        <v>56</v>
      </c>
      <c r="F13" s="73">
        <v>32367</v>
      </c>
      <c r="G13" s="48" t="s">
        <v>69</v>
      </c>
      <c r="H13" s="89" t="s">
        <v>550</v>
      </c>
      <c r="I13" s="74"/>
      <c r="J13" s="87" t="s">
        <v>710</v>
      </c>
      <c r="K13" s="74" t="s">
        <v>671</v>
      </c>
      <c r="L13" s="75" t="s">
        <v>68</v>
      </c>
      <c r="M13" s="75"/>
      <c r="N13" s="75"/>
      <c r="O13" s="75" t="s">
        <v>70</v>
      </c>
      <c r="P13" s="75"/>
      <c r="Q13" s="75"/>
      <c r="R13" s="48"/>
      <c r="S13" s="53"/>
      <c r="T13" s="53"/>
      <c r="U13" s="109"/>
      <c r="V13" s="76"/>
      <c r="W13" s="76"/>
      <c r="X13" s="181"/>
      <c r="Y13" s="76"/>
      <c r="Z13" s="76"/>
      <c r="AA13" s="181"/>
      <c r="AB13" s="181">
        <v>1.05</v>
      </c>
      <c r="AC13" s="101"/>
      <c r="AD13" s="38">
        <f t="shared" si="0"/>
        <v>1</v>
      </c>
      <c r="AE13" s="104"/>
      <c r="AF13" s="104"/>
      <c r="AG13" s="104"/>
      <c r="AH13" s="104"/>
    </row>
    <row r="14" spans="1:34" s="38" customFormat="1" ht="15" customHeight="1">
      <c r="A14" s="47">
        <v>63</v>
      </c>
      <c r="B14" s="52" t="s">
        <v>53</v>
      </c>
      <c r="C14" s="52">
        <v>1989</v>
      </c>
      <c r="D14" s="52" t="s">
        <v>54</v>
      </c>
      <c r="E14" s="46" t="s">
        <v>56</v>
      </c>
      <c r="F14" s="71">
        <v>32022</v>
      </c>
      <c r="G14" s="48" t="s">
        <v>60</v>
      </c>
      <c r="H14" s="48" t="s">
        <v>29</v>
      </c>
      <c r="I14" s="48" t="s">
        <v>590</v>
      </c>
      <c r="J14" s="87" t="s">
        <v>706</v>
      </c>
      <c r="K14" s="48" t="s">
        <v>659</v>
      </c>
      <c r="L14" s="48" t="s">
        <v>61</v>
      </c>
      <c r="M14" s="48"/>
      <c r="N14" s="48"/>
      <c r="O14" s="48" t="s">
        <v>272</v>
      </c>
      <c r="P14" s="48"/>
      <c r="Q14" s="48"/>
      <c r="R14" s="48"/>
      <c r="S14" s="53"/>
      <c r="T14" s="53"/>
      <c r="U14" s="53"/>
      <c r="V14" s="53"/>
      <c r="W14" s="53"/>
      <c r="X14" s="180"/>
      <c r="Y14" s="53"/>
      <c r="Z14" s="53"/>
      <c r="AA14" s="180"/>
      <c r="AB14" s="180">
        <v>2.54</v>
      </c>
      <c r="AC14" s="101"/>
      <c r="AD14" s="38">
        <f t="shared" si="0"/>
        <v>1</v>
      </c>
      <c r="AE14" s="104"/>
      <c r="AF14" s="104"/>
      <c r="AG14" s="104"/>
      <c r="AH14" s="104"/>
    </row>
    <row r="15" spans="1:34" s="38" customFormat="1" ht="15" customHeight="1">
      <c r="A15" s="47">
        <v>118</v>
      </c>
      <c r="B15" s="105" t="s">
        <v>199</v>
      </c>
      <c r="C15" s="48">
        <v>1999</v>
      </c>
      <c r="D15" s="105" t="s">
        <v>200</v>
      </c>
      <c r="E15" s="46" t="s">
        <v>16</v>
      </c>
      <c r="F15" s="48">
        <v>1999</v>
      </c>
      <c r="G15" s="48" t="s">
        <v>125</v>
      </c>
      <c r="H15" s="48" t="s">
        <v>49</v>
      </c>
      <c r="I15" s="48"/>
      <c r="J15" s="87" t="s">
        <v>706</v>
      </c>
      <c r="K15" s="48" t="s">
        <v>657</v>
      </c>
      <c r="L15" s="48" t="s">
        <v>203</v>
      </c>
      <c r="M15" s="48"/>
      <c r="N15" s="48"/>
      <c r="O15" s="48">
        <v>3</v>
      </c>
      <c r="P15" s="48"/>
      <c r="Q15" s="48"/>
      <c r="R15" s="48"/>
      <c r="S15" s="53"/>
      <c r="T15" s="53"/>
      <c r="U15" s="53">
        <v>0.95</v>
      </c>
      <c r="V15" s="53"/>
      <c r="W15" s="53"/>
      <c r="X15" s="180">
        <v>1.65</v>
      </c>
      <c r="Y15" s="53"/>
      <c r="Z15" s="53"/>
      <c r="AA15" s="180"/>
      <c r="AB15" s="180"/>
      <c r="AC15" s="101"/>
      <c r="AD15" s="38">
        <f t="shared" si="0"/>
        <v>1</v>
      </c>
      <c r="AE15" s="104"/>
      <c r="AF15" s="104"/>
      <c r="AG15" s="104"/>
      <c r="AH15" s="104"/>
    </row>
    <row r="16" spans="1:34" s="38" customFormat="1" ht="15" customHeight="1">
      <c r="A16" s="47">
        <v>118</v>
      </c>
      <c r="B16" s="105" t="s">
        <v>199</v>
      </c>
      <c r="C16" s="48">
        <v>1999</v>
      </c>
      <c r="D16" s="105" t="s">
        <v>200</v>
      </c>
      <c r="E16" s="46" t="s">
        <v>16</v>
      </c>
      <c r="F16" s="48">
        <v>1999</v>
      </c>
      <c r="G16" s="48" t="s">
        <v>125</v>
      </c>
      <c r="H16" s="48" t="s">
        <v>49</v>
      </c>
      <c r="I16" s="48"/>
      <c r="J16" s="87" t="s">
        <v>704</v>
      </c>
      <c r="K16" s="48" t="s">
        <v>683</v>
      </c>
      <c r="L16" s="48" t="s">
        <v>202</v>
      </c>
      <c r="M16" s="48"/>
      <c r="N16" s="48"/>
      <c r="O16" s="48">
        <v>2</v>
      </c>
      <c r="P16" s="48"/>
      <c r="Q16" s="48"/>
      <c r="R16" s="48"/>
      <c r="S16" s="53"/>
      <c r="T16" s="53"/>
      <c r="U16" s="53">
        <v>0.96</v>
      </c>
      <c r="V16" s="53"/>
      <c r="W16" s="53"/>
      <c r="X16" s="180">
        <v>1.92</v>
      </c>
      <c r="Y16" s="53"/>
      <c r="Z16" s="53"/>
      <c r="AA16" s="180"/>
      <c r="AB16" s="180"/>
      <c r="AC16" s="101"/>
      <c r="AD16" s="38">
        <f t="shared" si="0"/>
        <v>1</v>
      </c>
      <c r="AE16" s="104"/>
      <c r="AF16" s="104"/>
      <c r="AG16" s="104"/>
      <c r="AH16" s="104"/>
    </row>
    <row r="17" spans="1:34" s="38" customFormat="1" ht="15" customHeight="1">
      <c r="A17" s="47">
        <v>118</v>
      </c>
      <c r="B17" s="105" t="s">
        <v>199</v>
      </c>
      <c r="C17" s="48">
        <v>1999</v>
      </c>
      <c r="D17" s="105" t="s">
        <v>200</v>
      </c>
      <c r="E17" s="46" t="s">
        <v>16</v>
      </c>
      <c r="F17" s="48">
        <v>1999</v>
      </c>
      <c r="G17" s="48" t="s">
        <v>125</v>
      </c>
      <c r="H17" s="48" t="s">
        <v>49</v>
      </c>
      <c r="I17" s="48"/>
      <c r="J17" s="87" t="s">
        <v>704</v>
      </c>
      <c r="K17" s="48" t="s">
        <v>683</v>
      </c>
      <c r="L17" s="48" t="s">
        <v>202</v>
      </c>
      <c r="M17" s="48"/>
      <c r="N17" s="48"/>
      <c r="O17" s="48">
        <v>11</v>
      </c>
      <c r="P17" s="48"/>
      <c r="Q17" s="48"/>
      <c r="R17" s="48"/>
      <c r="S17" s="53"/>
      <c r="T17" s="53"/>
      <c r="U17" s="53">
        <v>0.97</v>
      </c>
      <c r="V17" s="53"/>
      <c r="W17" s="53"/>
      <c r="X17" s="180">
        <v>1.71</v>
      </c>
      <c r="Y17" s="53"/>
      <c r="Z17" s="53"/>
      <c r="AA17" s="180"/>
      <c r="AB17" s="180"/>
      <c r="AC17" s="101"/>
      <c r="AD17" s="38">
        <f t="shared" si="0"/>
        <v>1</v>
      </c>
      <c r="AE17" s="104"/>
      <c r="AF17" s="104"/>
      <c r="AG17" s="104"/>
      <c r="AH17" s="104"/>
    </row>
    <row r="18" spans="1:34" s="38" customFormat="1" ht="15" customHeight="1">
      <c r="A18" s="47">
        <v>118</v>
      </c>
      <c r="B18" s="105" t="s">
        <v>199</v>
      </c>
      <c r="C18" s="48">
        <v>1999</v>
      </c>
      <c r="D18" s="105" t="s">
        <v>200</v>
      </c>
      <c r="E18" s="46" t="s">
        <v>16</v>
      </c>
      <c r="F18" s="48">
        <v>1999</v>
      </c>
      <c r="G18" s="48" t="s">
        <v>125</v>
      </c>
      <c r="H18" s="48" t="s">
        <v>49</v>
      </c>
      <c r="I18" s="48"/>
      <c r="J18" s="87" t="s">
        <v>704</v>
      </c>
      <c r="K18" s="48" t="s">
        <v>683</v>
      </c>
      <c r="L18" s="48" t="s">
        <v>202</v>
      </c>
      <c r="M18" s="48"/>
      <c r="N18" s="48"/>
      <c r="O18" s="48">
        <v>12</v>
      </c>
      <c r="P18" s="48"/>
      <c r="Q18" s="48"/>
      <c r="R18" s="48"/>
      <c r="S18" s="53"/>
      <c r="T18" s="53"/>
      <c r="U18" s="53">
        <v>0.96</v>
      </c>
      <c r="V18" s="53"/>
      <c r="W18" s="53"/>
      <c r="X18" s="180">
        <v>1.41</v>
      </c>
      <c r="Y18" s="53"/>
      <c r="Z18" s="53"/>
      <c r="AA18" s="180"/>
      <c r="AB18" s="180"/>
      <c r="AC18" s="101"/>
      <c r="AD18" s="38">
        <f t="shared" si="0"/>
        <v>1</v>
      </c>
      <c r="AE18" s="104"/>
      <c r="AF18" s="104"/>
      <c r="AG18" s="104"/>
      <c r="AH18" s="104"/>
    </row>
    <row r="19" spans="1:34" s="38" customFormat="1" ht="15" customHeight="1">
      <c r="A19" s="47">
        <v>118</v>
      </c>
      <c r="B19" s="105" t="s">
        <v>199</v>
      </c>
      <c r="C19" s="48">
        <v>1999</v>
      </c>
      <c r="D19" s="105" t="s">
        <v>200</v>
      </c>
      <c r="E19" s="46" t="s">
        <v>16</v>
      </c>
      <c r="F19" s="48">
        <v>1999</v>
      </c>
      <c r="G19" s="48" t="s">
        <v>125</v>
      </c>
      <c r="H19" s="48" t="s">
        <v>49</v>
      </c>
      <c r="I19" s="48"/>
      <c r="J19" s="87" t="s">
        <v>706</v>
      </c>
      <c r="K19" s="48" t="s">
        <v>656</v>
      </c>
      <c r="L19" s="48" t="s">
        <v>201</v>
      </c>
      <c r="M19" s="48"/>
      <c r="N19" s="48"/>
      <c r="O19" s="48">
        <v>1</v>
      </c>
      <c r="P19" s="48"/>
      <c r="Q19" s="48"/>
      <c r="R19" s="48"/>
      <c r="S19" s="53"/>
      <c r="T19" s="53"/>
      <c r="U19" s="53">
        <v>0.97</v>
      </c>
      <c r="V19" s="53"/>
      <c r="W19" s="53"/>
      <c r="X19" s="180">
        <v>1.95</v>
      </c>
      <c r="Y19" s="53"/>
      <c r="Z19" s="53"/>
      <c r="AA19" s="180"/>
      <c r="AB19" s="180"/>
      <c r="AC19" s="101"/>
      <c r="AD19" s="38">
        <f t="shared" si="0"/>
        <v>1</v>
      </c>
      <c r="AE19" s="104"/>
      <c r="AF19" s="104"/>
      <c r="AG19" s="104"/>
      <c r="AH19" s="104"/>
    </row>
    <row r="20" spans="1:34" s="38" customFormat="1" ht="15" customHeight="1">
      <c r="A20" s="47">
        <v>118</v>
      </c>
      <c r="B20" s="105" t="s">
        <v>199</v>
      </c>
      <c r="C20" s="48">
        <v>1999</v>
      </c>
      <c r="D20" s="105" t="s">
        <v>200</v>
      </c>
      <c r="E20" s="46" t="s">
        <v>16</v>
      </c>
      <c r="F20" s="48">
        <v>1999</v>
      </c>
      <c r="G20" s="48" t="s">
        <v>125</v>
      </c>
      <c r="H20" s="48" t="s">
        <v>49</v>
      </c>
      <c r="I20" s="48"/>
      <c r="J20" s="87" t="s">
        <v>706</v>
      </c>
      <c r="K20" s="48" t="s">
        <v>656</v>
      </c>
      <c r="L20" s="48" t="s">
        <v>204</v>
      </c>
      <c r="M20" s="48"/>
      <c r="N20" s="48"/>
      <c r="O20" s="48">
        <v>4</v>
      </c>
      <c r="P20" s="48"/>
      <c r="Q20" s="48"/>
      <c r="R20" s="48"/>
      <c r="S20" s="53"/>
      <c r="T20" s="53"/>
      <c r="U20" s="53">
        <v>0.98</v>
      </c>
      <c r="V20" s="53"/>
      <c r="W20" s="53"/>
      <c r="X20" s="180">
        <v>1.57</v>
      </c>
      <c r="Y20" s="53"/>
      <c r="Z20" s="53"/>
      <c r="AA20" s="180"/>
      <c r="AB20" s="180"/>
      <c r="AC20" s="101"/>
      <c r="AD20" s="38">
        <f t="shared" si="0"/>
        <v>1</v>
      </c>
      <c r="AE20" s="104"/>
      <c r="AF20" s="104"/>
      <c r="AG20" s="104"/>
      <c r="AH20" s="104"/>
    </row>
    <row r="21" spans="1:34" s="38" customFormat="1" ht="15" customHeight="1">
      <c r="A21" s="47">
        <v>119</v>
      </c>
      <c r="B21" s="52" t="s">
        <v>199</v>
      </c>
      <c r="C21" s="52">
        <v>2000</v>
      </c>
      <c r="D21" s="52" t="s">
        <v>205</v>
      </c>
      <c r="E21" s="46" t="s">
        <v>207</v>
      </c>
      <c r="F21" s="71">
        <v>35594</v>
      </c>
      <c r="G21" s="48" t="s">
        <v>208</v>
      </c>
      <c r="H21" s="48" t="s">
        <v>116</v>
      </c>
      <c r="I21" s="48" t="s">
        <v>590</v>
      </c>
      <c r="J21" s="87" t="s">
        <v>751</v>
      </c>
      <c r="K21" s="48" t="s">
        <v>607</v>
      </c>
      <c r="L21" s="48" t="s">
        <v>209</v>
      </c>
      <c r="M21" s="48" t="s">
        <v>210</v>
      </c>
      <c r="N21" s="48" t="s">
        <v>211</v>
      </c>
      <c r="O21" s="48" t="s">
        <v>212</v>
      </c>
      <c r="P21" s="48"/>
      <c r="Q21" s="48"/>
      <c r="R21" s="48"/>
      <c r="S21" s="53"/>
      <c r="T21" s="53"/>
      <c r="U21" s="53">
        <v>0.92500000000000004</v>
      </c>
      <c r="V21" s="66"/>
      <c r="W21" s="66"/>
      <c r="X21" s="182">
        <v>2.27</v>
      </c>
      <c r="Y21" s="66"/>
      <c r="Z21" s="66"/>
      <c r="AA21" s="182"/>
      <c r="AB21" s="182"/>
      <c r="AC21" s="101"/>
      <c r="AD21" s="38">
        <f t="shared" si="0"/>
        <v>1</v>
      </c>
      <c r="AE21" s="104"/>
      <c r="AF21" s="104"/>
      <c r="AG21" s="104"/>
      <c r="AH21" s="104"/>
    </row>
    <row r="22" spans="1:34" s="38" customFormat="1" ht="15" customHeight="1">
      <c r="A22" s="47">
        <v>119</v>
      </c>
      <c r="B22" s="52" t="s">
        <v>199</v>
      </c>
      <c r="C22" s="52">
        <v>2000</v>
      </c>
      <c r="D22" s="52" t="s">
        <v>205</v>
      </c>
      <c r="E22" s="46" t="s">
        <v>207</v>
      </c>
      <c r="F22" s="71">
        <v>35603</v>
      </c>
      <c r="G22" s="48" t="s">
        <v>218</v>
      </c>
      <c r="H22" s="48" t="s">
        <v>116</v>
      </c>
      <c r="I22" s="48" t="s">
        <v>590</v>
      </c>
      <c r="J22" s="87" t="s">
        <v>710</v>
      </c>
      <c r="K22" s="48" t="s">
        <v>638</v>
      </c>
      <c r="L22" s="48" t="s">
        <v>215</v>
      </c>
      <c r="M22" s="48" t="s">
        <v>117</v>
      </c>
      <c r="N22" s="52"/>
      <c r="O22" s="52" t="s">
        <v>219</v>
      </c>
      <c r="P22" s="48"/>
      <c r="Q22" s="48"/>
      <c r="R22" s="52"/>
      <c r="S22" s="55"/>
      <c r="T22" s="55"/>
      <c r="U22" s="53">
        <v>0.92900000000000005</v>
      </c>
      <c r="V22" s="66"/>
      <c r="W22" s="66"/>
      <c r="X22" s="182">
        <v>1.61</v>
      </c>
      <c r="Y22" s="66"/>
      <c r="Z22" s="66"/>
      <c r="AA22" s="182"/>
      <c r="AB22" s="182"/>
      <c r="AC22" s="101"/>
      <c r="AD22" s="38">
        <f t="shared" si="0"/>
        <v>1</v>
      </c>
      <c r="AE22" s="104"/>
      <c r="AF22" s="104"/>
      <c r="AG22" s="104"/>
      <c r="AH22" s="104"/>
    </row>
    <row r="23" spans="1:34" s="38" customFormat="1" ht="15" customHeight="1">
      <c r="A23" s="47">
        <v>142</v>
      </c>
      <c r="B23" s="74" t="s">
        <v>281</v>
      </c>
      <c r="C23" s="48">
        <v>2007</v>
      </c>
      <c r="D23" s="72" t="s">
        <v>282</v>
      </c>
      <c r="E23" s="46" t="s">
        <v>24</v>
      </c>
      <c r="F23" s="48">
        <v>2007</v>
      </c>
      <c r="G23" s="48" t="s">
        <v>20</v>
      </c>
      <c r="H23" s="48" t="s">
        <v>20</v>
      </c>
      <c r="I23" s="48"/>
      <c r="J23" s="87" t="s">
        <v>703</v>
      </c>
      <c r="K23" s="48" t="s">
        <v>647</v>
      </c>
      <c r="L23" s="48"/>
      <c r="M23" s="48" t="s">
        <v>284</v>
      </c>
      <c r="N23" s="48"/>
      <c r="O23" s="48" t="s">
        <v>285</v>
      </c>
      <c r="P23" s="48"/>
      <c r="Q23" s="48"/>
      <c r="R23" s="48"/>
      <c r="S23" s="53"/>
      <c r="T23" s="53"/>
      <c r="U23" s="53"/>
      <c r="V23" s="53"/>
      <c r="W23" s="53"/>
      <c r="X23" s="180"/>
      <c r="Y23" s="53"/>
      <c r="Z23" s="53"/>
      <c r="AA23" s="180"/>
      <c r="AB23" s="180">
        <v>2.0699999999999998</v>
      </c>
      <c r="AC23" s="101"/>
      <c r="AD23" s="38">
        <f t="shared" si="0"/>
        <v>1</v>
      </c>
      <c r="AE23" s="104"/>
      <c r="AF23" s="104"/>
      <c r="AG23" s="104"/>
      <c r="AH23" s="104"/>
    </row>
    <row r="24" spans="1:34" s="38" customFormat="1" ht="15" customHeight="1">
      <c r="A24" s="47">
        <v>142</v>
      </c>
      <c r="B24" s="74" t="s">
        <v>281</v>
      </c>
      <c r="C24" s="48">
        <v>2007</v>
      </c>
      <c r="D24" s="72" t="s">
        <v>282</v>
      </c>
      <c r="E24" s="46" t="s">
        <v>24</v>
      </c>
      <c r="F24" s="48">
        <v>2007</v>
      </c>
      <c r="G24" s="48" t="s">
        <v>20</v>
      </c>
      <c r="H24" s="48" t="s">
        <v>20</v>
      </c>
      <c r="I24" s="48"/>
      <c r="J24" s="87" t="s">
        <v>703</v>
      </c>
      <c r="K24" s="48" t="s">
        <v>647</v>
      </c>
      <c r="L24" s="48"/>
      <c r="M24" s="48" t="s">
        <v>284</v>
      </c>
      <c r="N24" s="48"/>
      <c r="O24" s="48" t="s">
        <v>286</v>
      </c>
      <c r="P24" s="48"/>
      <c r="Q24" s="48"/>
      <c r="R24" s="48"/>
      <c r="S24" s="53"/>
      <c r="T24" s="53"/>
      <c r="U24" s="53"/>
      <c r="V24" s="53"/>
      <c r="W24" s="53"/>
      <c r="X24" s="180"/>
      <c r="Y24" s="53"/>
      <c r="Z24" s="53"/>
      <c r="AA24" s="180"/>
      <c r="AB24" s="180">
        <v>0.81</v>
      </c>
      <c r="AC24" s="101"/>
      <c r="AD24" s="38">
        <f t="shared" si="0"/>
        <v>1</v>
      </c>
      <c r="AE24" s="104"/>
      <c r="AF24" s="104"/>
      <c r="AG24" s="104"/>
      <c r="AH24" s="104"/>
    </row>
    <row r="25" spans="1:34" s="38" customFormat="1" ht="15" customHeight="1">
      <c r="A25" s="47">
        <v>144</v>
      </c>
      <c r="B25" s="74" t="s">
        <v>36</v>
      </c>
      <c r="C25" s="52">
        <v>1980</v>
      </c>
      <c r="D25" s="74" t="s">
        <v>287</v>
      </c>
      <c r="E25" s="46" t="s">
        <v>16</v>
      </c>
      <c r="F25" s="48"/>
      <c r="G25" s="48"/>
      <c r="H25" s="48"/>
      <c r="I25" s="48"/>
      <c r="J25" s="87" t="s">
        <v>593</v>
      </c>
      <c r="K25" s="48" t="s">
        <v>711</v>
      </c>
      <c r="L25" s="70" t="s">
        <v>298</v>
      </c>
      <c r="M25" s="48"/>
      <c r="N25" s="48"/>
      <c r="O25" s="48"/>
      <c r="P25" s="48"/>
      <c r="Q25" s="48"/>
      <c r="R25" s="48"/>
      <c r="S25" s="53"/>
      <c r="T25" s="53"/>
      <c r="U25" s="53"/>
      <c r="V25" s="53"/>
      <c r="W25" s="53"/>
      <c r="X25" s="180">
        <v>11.29</v>
      </c>
      <c r="Y25" s="53"/>
      <c r="Z25" s="53"/>
      <c r="AA25" s="180">
        <v>0.93</v>
      </c>
      <c r="AB25" s="180">
        <v>6.79</v>
      </c>
      <c r="AC25" s="101"/>
      <c r="AD25" s="38">
        <f t="shared" si="0"/>
        <v>3</v>
      </c>
      <c r="AE25" s="104"/>
      <c r="AF25" s="104"/>
      <c r="AG25" s="104"/>
      <c r="AH25" s="104"/>
    </row>
    <row r="26" spans="1:34" s="38" customFormat="1" ht="15" customHeight="1">
      <c r="A26" s="47">
        <v>144</v>
      </c>
      <c r="B26" s="74" t="s">
        <v>36</v>
      </c>
      <c r="C26" s="52">
        <v>1980</v>
      </c>
      <c r="D26" s="74" t="s">
        <v>287</v>
      </c>
      <c r="E26" s="46" t="s">
        <v>16</v>
      </c>
      <c r="F26" s="48"/>
      <c r="G26" s="48"/>
      <c r="H26" s="48"/>
      <c r="I26" s="48"/>
      <c r="J26" s="87" t="s">
        <v>703</v>
      </c>
      <c r="K26" s="48" t="s">
        <v>699</v>
      </c>
      <c r="L26" s="70" t="s">
        <v>297</v>
      </c>
      <c r="M26" s="48"/>
      <c r="N26" s="48"/>
      <c r="O26" s="48"/>
      <c r="P26" s="48"/>
      <c r="Q26" s="48"/>
      <c r="R26" s="48"/>
      <c r="S26" s="53"/>
      <c r="T26" s="53"/>
      <c r="U26" s="53"/>
      <c r="V26" s="53"/>
      <c r="W26" s="53"/>
      <c r="X26" s="180">
        <v>7.01</v>
      </c>
      <c r="Y26" s="53"/>
      <c r="Z26" s="53"/>
      <c r="AA26" s="180">
        <v>0.45</v>
      </c>
      <c r="AB26" s="180">
        <v>4.29</v>
      </c>
      <c r="AC26" s="101"/>
      <c r="AD26" s="38">
        <f t="shared" si="0"/>
        <v>3</v>
      </c>
      <c r="AE26" s="104"/>
      <c r="AF26" s="104"/>
      <c r="AG26" s="104"/>
      <c r="AH26" s="104"/>
    </row>
    <row r="27" spans="1:34" s="38" customFormat="1" ht="15" customHeight="1">
      <c r="A27" s="47">
        <v>144</v>
      </c>
      <c r="B27" s="74" t="s">
        <v>36</v>
      </c>
      <c r="C27" s="52">
        <v>1980</v>
      </c>
      <c r="D27" s="74" t="s">
        <v>287</v>
      </c>
      <c r="E27" s="46" t="s">
        <v>16</v>
      </c>
      <c r="F27" s="48"/>
      <c r="G27" s="48"/>
      <c r="H27" s="48"/>
      <c r="I27" s="48"/>
      <c r="J27" s="87" t="s">
        <v>594</v>
      </c>
      <c r="K27" s="48" t="s">
        <v>594</v>
      </c>
      <c r="L27" s="70" t="s">
        <v>299</v>
      </c>
      <c r="M27" s="48"/>
      <c r="N27" s="48"/>
      <c r="O27" s="48"/>
      <c r="P27" s="48"/>
      <c r="Q27" s="48"/>
      <c r="R27" s="48"/>
      <c r="S27" s="53"/>
      <c r="T27" s="53"/>
      <c r="U27" s="53"/>
      <c r="V27" s="53"/>
      <c r="W27" s="53"/>
      <c r="X27" s="180">
        <v>20.399999999999999</v>
      </c>
      <c r="Y27" s="53"/>
      <c r="Z27" s="53"/>
      <c r="AA27" s="180">
        <v>2.7</v>
      </c>
      <c r="AB27" s="180">
        <v>11.58</v>
      </c>
      <c r="AC27" s="101"/>
      <c r="AD27" s="38">
        <f t="shared" si="0"/>
        <v>3</v>
      </c>
      <c r="AE27" s="104"/>
      <c r="AF27" s="104"/>
      <c r="AG27" s="104"/>
      <c r="AH27" s="104"/>
    </row>
    <row r="28" spans="1:34" s="38" customFormat="1" ht="15" customHeight="1">
      <c r="A28" s="47">
        <v>144</v>
      </c>
      <c r="B28" s="74" t="s">
        <v>36</v>
      </c>
      <c r="C28" s="52">
        <v>1980</v>
      </c>
      <c r="D28" s="74" t="s">
        <v>287</v>
      </c>
      <c r="E28" s="46" t="s">
        <v>16</v>
      </c>
      <c r="F28" s="48"/>
      <c r="G28" s="48"/>
      <c r="H28" s="48"/>
      <c r="I28" s="48"/>
      <c r="J28" s="87" t="s">
        <v>593</v>
      </c>
      <c r="K28" s="48" t="s">
        <v>631</v>
      </c>
      <c r="L28" s="70" t="s">
        <v>296</v>
      </c>
      <c r="M28" s="48"/>
      <c r="N28" s="48"/>
      <c r="O28" s="48"/>
      <c r="P28" s="48"/>
      <c r="Q28" s="48"/>
      <c r="R28" s="48"/>
      <c r="S28" s="53"/>
      <c r="T28" s="53"/>
      <c r="U28" s="53"/>
      <c r="V28" s="53"/>
      <c r="W28" s="53"/>
      <c r="X28" s="180">
        <v>9.4700000000000006</v>
      </c>
      <c r="Y28" s="53"/>
      <c r="Z28" s="53"/>
      <c r="AA28" s="180">
        <v>0.34</v>
      </c>
      <c r="AB28" s="180">
        <v>5.98</v>
      </c>
      <c r="AC28" s="101"/>
      <c r="AD28" s="38">
        <f t="shared" si="0"/>
        <v>3</v>
      </c>
      <c r="AE28" s="104"/>
      <c r="AF28" s="104"/>
      <c r="AG28" s="104"/>
      <c r="AH28" s="104"/>
    </row>
    <row r="29" spans="1:34" s="38" customFormat="1" ht="15" customHeight="1">
      <c r="A29" s="47">
        <v>144</v>
      </c>
      <c r="B29" s="74" t="s">
        <v>36</v>
      </c>
      <c r="C29" s="52">
        <v>1980</v>
      </c>
      <c r="D29" s="74" t="s">
        <v>287</v>
      </c>
      <c r="E29" s="46" t="s">
        <v>16</v>
      </c>
      <c r="F29" s="48"/>
      <c r="G29" s="48"/>
      <c r="H29" s="48"/>
      <c r="I29" s="48"/>
      <c r="J29" s="87" t="s">
        <v>593</v>
      </c>
      <c r="K29" s="48" t="s">
        <v>700</v>
      </c>
      <c r="L29" s="70" t="s">
        <v>294</v>
      </c>
      <c r="M29" s="48"/>
      <c r="N29" s="48"/>
      <c r="O29" s="48"/>
      <c r="P29" s="48"/>
      <c r="Q29" s="48"/>
      <c r="R29" s="48"/>
      <c r="S29" s="53"/>
      <c r="T29" s="53"/>
      <c r="U29" s="53"/>
      <c r="V29" s="53"/>
      <c r="W29" s="53"/>
      <c r="X29" s="180">
        <v>8.99</v>
      </c>
      <c r="Y29" s="53"/>
      <c r="Z29" s="53"/>
      <c r="AA29" s="180">
        <v>0.76</v>
      </c>
      <c r="AB29" s="180">
        <v>5.39</v>
      </c>
      <c r="AC29" s="101"/>
      <c r="AD29" s="38">
        <f t="shared" si="0"/>
        <v>3</v>
      </c>
      <c r="AE29" s="104"/>
      <c r="AF29" s="104"/>
      <c r="AG29" s="104"/>
      <c r="AH29" s="104"/>
    </row>
    <row r="30" spans="1:34" s="38" customFormat="1" ht="15" customHeight="1">
      <c r="A30" s="47">
        <v>144</v>
      </c>
      <c r="B30" s="74" t="s">
        <v>36</v>
      </c>
      <c r="C30" s="52">
        <v>1980</v>
      </c>
      <c r="D30" s="74" t="s">
        <v>287</v>
      </c>
      <c r="E30" s="46" t="s">
        <v>16</v>
      </c>
      <c r="F30" s="48"/>
      <c r="G30" s="48"/>
      <c r="H30" s="48"/>
      <c r="I30" s="48"/>
      <c r="J30" s="87" t="s">
        <v>703</v>
      </c>
      <c r="K30" s="48" t="s">
        <v>695</v>
      </c>
      <c r="L30" s="70" t="s">
        <v>290</v>
      </c>
      <c r="M30" s="48"/>
      <c r="N30" s="48"/>
      <c r="O30" s="48"/>
      <c r="P30" s="48"/>
      <c r="Q30" s="48"/>
      <c r="R30" s="48"/>
      <c r="S30" s="53"/>
      <c r="T30" s="53"/>
      <c r="U30" s="53"/>
      <c r="V30" s="53"/>
      <c r="W30" s="53"/>
      <c r="X30" s="180">
        <v>1.54</v>
      </c>
      <c r="Y30" s="53"/>
      <c r="Z30" s="53"/>
      <c r="AA30" s="180">
        <v>0.06</v>
      </c>
      <c r="AB30" s="180">
        <v>0.97</v>
      </c>
      <c r="AC30" s="101"/>
      <c r="AD30" s="38">
        <f t="shared" si="0"/>
        <v>3</v>
      </c>
      <c r="AE30" s="104"/>
      <c r="AF30" s="104"/>
      <c r="AG30" s="104"/>
      <c r="AH30" s="104"/>
    </row>
    <row r="31" spans="1:34" s="38" customFormat="1" ht="15" customHeight="1">
      <c r="A31" s="47">
        <v>144</v>
      </c>
      <c r="B31" s="74" t="s">
        <v>36</v>
      </c>
      <c r="C31" s="52">
        <v>1980</v>
      </c>
      <c r="D31" s="74" t="s">
        <v>287</v>
      </c>
      <c r="E31" s="46" t="s">
        <v>16</v>
      </c>
      <c r="F31" s="48"/>
      <c r="G31" s="48"/>
      <c r="H31" s="48"/>
      <c r="I31" s="48"/>
      <c r="J31" s="87" t="s">
        <v>703</v>
      </c>
      <c r="K31" s="48" t="s">
        <v>697</v>
      </c>
      <c r="L31" s="70" t="s">
        <v>291</v>
      </c>
      <c r="M31" s="48"/>
      <c r="N31" s="48"/>
      <c r="O31" s="48"/>
      <c r="P31" s="48"/>
      <c r="Q31" s="48"/>
      <c r="R31" s="48"/>
      <c r="S31" s="53"/>
      <c r="T31" s="53"/>
      <c r="U31" s="53"/>
      <c r="V31" s="53"/>
      <c r="W31" s="53"/>
      <c r="X31" s="180">
        <v>2.44</v>
      </c>
      <c r="Y31" s="53"/>
      <c r="Z31" s="53"/>
      <c r="AA31" s="180">
        <v>0.17</v>
      </c>
      <c r="AB31" s="180">
        <v>1.49</v>
      </c>
      <c r="AC31" s="101"/>
      <c r="AD31" s="38">
        <f t="shared" si="0"/>
        <v>3</v>
      </c>
      <c r="AE31" s="102"/>
      <c r="AF31" s="102"/>
    </row>
    <row r="32" spans="1:34" s="38" customFormat="1" ht="15" customHeight="1">
      <c r="A32" s="47">
        <v>144</v>
      </c>
      <c r="B32" s="74" t="s">
        <v>36</v>
      </c>
      <c r="C32" s="52">
        <v>1980</v>
      </c>
      <c r="D32" s="74" t="s">
        <v>287</v>
      </c>
      <c r="E32" s="46" t="s">
        <v>16</v>
      </c>
      <c r="F32" s="48"/>
      <c r="G32" s="48"/>
      <c r="H32" s="48"/>
      <c r="I32" s="48"/>
      <c r="J32" s="87" t="s">
        <v>703</v>
      </c>
      <c r="K32" s="48" t="s">
        <v>696</v>
      </c>
      <c r="L32" s="70" t="s">
        <v>292</v>
      </c>
      <c r="M32" s="48"/>
      <c r="N32" s="48"/>
      <c r="O32" s="48"/>
      <c r="P32" s="48"/>
      <c r="Q32" s="48"/>
      <c r="R32" s="48"/>
      <c r="S32" s="53"/>
      <c r="T32" s="53"/>
      <c r="U32" s="53"/>
      <c r="V32" s="53"/>
      <c r="W32" s="53"/>
      <c r="X32" s="180">
        <v>2.19</v>
      </c>
      <c r="Y32" s="53"/>
      <c r="Z32" s="53"/>
      <c r="AA32" s="180">
        <v>0.15</v>
      </c>
      <c r="AB32" s="180">
        <v>1.33</v>
      </c>
      <c r="AC32" s="101"/>
      <c r="AD32" s="38">
        <f t="shared" si="0"/>
        <v>3</v>
      </c>
      <c r="AE32" s="102"/>
      <c r="AF32" s="102"/>
    </row>
    <row r="33" spans="1:32" s="38" customFormat="1" ht="15" customHeight="1">
      <c r="A33" s="47">
        <v>144</v>
      </c>
      <c r="B33" s="74" t="s">
        <v>36</v>
      </c>
      <c r="C33" s="52">
        <v>1980</v>
      </c>
      <c r="D33" s="74" t="s">
        <v>287</v>
      </c>
      <c r="E33" s="46" t="s">
        <v>16</v>
      </c>
      <c r="F33" s="48"/>
      <c r="G33" s="48"/>
      <c r="H33" s="48"/>
      <c r="I33" s="48"/>
      <c r="J33" s="87" t="s">
        <v>703</v>
      </c>
      <c r="K33" s="48" t="s">
        <v>698</v>
      </c>
      <c r="L33" s="70" t="s">
        <v>293</v>
      </c>
      <c r="M33" s="48"/>
      <c r="N33" s="48"/>
      <c r="O33" s="48"/>
      <c r="P33" s="48"/>
      <c r="Q33" s="48"/>
      <c r="R33" s="48"/>
      <c r="S33" s="53"/>
      <c r="T33" s="53"/>
      <c r="U33" s="53"/>
      <c r="V33" s="53"/>
      <c r="W33" s="53"/>
      <c r="X33" s="180">
        <v>5.58</v>
      </c>
      <c r="Y33" s="53"/>
      <c r="Z33" s="53"/>
      <c r="AA33" s="180">
        <v>0.36</v>
      </c>
      <c r="AB33" s="180">
        <v>3.42</v>
      </c>
      <c r="AC33" s="101"/>
      <c r="AD33" s="38">
        <f t="shared" si="0"/>
        <v>3</v>
      </c>
      <c r="AE33" s="102"/>
      <c r="AF33" s="102"/>
    </row>
    <row r="34" spans="1:32" s="38" customFormat="1" ht="15" customHeight="1">
      <c r="A34" s="47">
        <v>144</v>
      </c>
      <c r="B34" s="52" t="s">
        <v>36</v>
      </c>
      <c r="C34" s="52">
        <v>1980</v>
      </c>
      <c r="D34" s="52" t="s">
        <v>287</v>
      </c>
      <c r="E34" s="46" t="s">
        <v>16</v>
      </c>
      <c r="F34" s="48"/>
      <c r="G34" s="48"/>
      <c r="H34" s="48"/>
      <c r="I34" s="48"/>
      <c r="J34" s="87" t="s">
        <v>703</v>
      </c>
      <c r="K34" s="48" t="s">
        <v>694</v>
      </c>
      <c r="L34" s="70" t="s">
        <v>289</v>
      </c>
      <c r="M34" s="48"/>
      <c r="N34" s="48"/>
      <c r="O34" s="48"/>
      <c r="P34" s="48"/>
      <c r="Q34" s="48"/>
      <c r="R34" s="48"/>
      <c r="S34" s="53"/>
      <c r="T34" s="53"/>
      <c r="U34" s="53"/>
      <c r="V34" s="53"/>
      <c r="W34" s="53"/>
      <c r="X34" s="180">
        <v>0.4</v>
      </c>
      <c r="Y34" s="53"/>
      <c r="Z34" s="53"/>
      <c r="AA34" s="180">
        <v>0.06</v>
      </c>
      <c r="AB34" s="180">
        <v>0.23</v>
      </c>
      <c r="AC34" s="101"/>
      <c r="AD34" s="38">
        <f t="shared" si="0"/>
        <v>3</v>
      </c>
      <c r="AE34" s="102"/>
      <c r="AF34" s="102"/>
    </row>
    <row r="35" spans="1:32" s="38" customFormat="1" ht="15" customHeight="1">
      <c r="A35" s="47">
        <v>172</v>
      </c>
      <c r="B35" s="48" t="s">
        <v>302</v>
      </c>
      <c r="C35" s="48">
        <v>2010</v>
      </c>
      <c r="D35" s="48" t="s">
        <v>303</v>
      </c>
      <c r="E35" s="46" t="s">
        <v>305</v>
      </c>
      <c r="F35" s="50">
        <v>40228</v>
      </c>
      <c r="G35" s="48" t="s">
        <v>258</v>
      </c>
      <c r="H35" s="48" t="s">
        <v>20</v>
      </c>
      <c r="I35" s="48"/>
      <c r="J35" s="87" t="s">
        <v>591</v>
      </c>
      <c r="K35" s="48" t="s">
        <v>619</v>
      </c>
      <c r="L35" s="48" t="s">
        <v>334</v>
      </c>
      <c r="M35" s="51" t="s">
        <v>592</v>
      </c>
      <c r="N35" s="51"/>
      <c r="O35" s="48"/>
      <c r="P35" s="52"/>
      <c r="Q35" s="52"/>
      <c r="R35" s="48"/>
      <c r="S35" s="53"/>
      <c r="T35" s="53"/>
      <c r="U35" s="55">
        <v>0.93400000000000005</v>
      </c>
      <c r="V35" s="54"/>
      <c r="W35" s="54"/>
      <c r="X35" s="183">
        <v>1.98</v>
      </c>
      <c r="Y35" s="54"/>
      <c r="Z35" s="54"/>
      <c r="AA35" s="183">
        <v>1.028</v>
      </c>
      <c r="AB35" s="183">
        <v>2.6509999999999998</v>
      </c>
      <c r="AC35" s="101"/>
      <c r="AD35" s="38">
        <f t="shared" si="0"/>
        <v>3</v>
      </c>
      <c r="AE35" s="102"/>
      <c r="AF35" s="102"/>
    </row>
    <row r="36" spans="1:32" s="38" customFormat="1" ht="15" customHeight="1">
      <c r="A36" s="47">
        <v>172</v>
      </c>
      <c r="B36" s="48" t="s">
        <v>302</v>
      </c>
      <c r="C36" s="48">
        <v>2010</v>
      </c>
      <c r="D36" s="48" t="s">
        <v>303</v>
      </c>
      <c r="E36" s="46" t="s">
        <v>305</v>
      </c>
      <c r="F36" s="50">
        <v>40229</v>
      </c>
      <c r="G36" s="48" t="s">
        <v>258</v>
      </c>
      <c r="H36" s="48" t="s">
        <v>20</v>
      </c>
      <c r="I36" s="48"/>
      <c r="J36" s="87" t="s">
        <v>591</v>
      </c>
      <c r="K36" s="48" t="s">
        <v>619</v>
      </c>
      <c r="L36" s="48" t="s">
        <v>335</v>
      </c>
      <c r="M36" s="51" t="s">
        <v>592</v>
      </c>
      <c r="N36" s="51"/>
      <c r="O36" s="48"/>
      <c r="P36" s="52"/>
      <c r="Q36" s="52"/>
      <c r="R36" s="48"/>
      <c r="S36" s="53"/>
      <c r="T36" s="53"/>
      <c r="U36" s="55">
        <v>0.92700000000000005</v>
      </c>
      <c r="V36" s="54"/>
      <c r="W36" s="54"/>
      <c r="X36" s="183">
        <v>2.2570000000000001</v>
      </c>
      <c r="Y36" s="54"/>
      <c r="Z36" s="54"/>
      <c r="AA36" s="183">
        <v>1.2330000000000001</v>
      </c>
      <c r="AB36" s="183">
        <v>3.0609999999999999</v>
      </c>
      <c r="AC36" s="101"/>
      <c r="AD36" s="38">
        <f t="shared" si="0"/>
        <v>3</v>
      </c>
      <c r="AE36" s="102"/>
      <c r="AF36" s="102"/>
    </row>
    <row r="37" spans="1:32" s="38" customFormat="1" ht="15" customHeight="1">
      <c r="A37" s="47">
        <v>172</v>
      </c>
      <c r="B37" s="48" t="s">
        <v>302</v>
      </c>
      <c r="C37" s="48">
        <v>2010</v>
      </c>
      <c r="D37" s="48" t="s">
        <v>303</v>
      </c>
      <c r="E37" s="46" t="s">
        <v>305</v>
      </c>
      <c r="F37" s="50">
        <v>40220</v>
      </c>
      <c r="G37" s="48" t="s">
        <v>311</v>
      </c>
      <c r="H37" s="48" t="s">
        <v>39</v>
      </c>
      <c r="I37" s="48"/>
      <c r="J37" s="87" t="s">
        <v>704</v>
      </c>
      <c r="K37" s="48" t="s">
        <v>624</v>
      </c>
      <c r="L37" s="48" t="s">
        <v>312</v>
      </c>
      <c r="M37" s="51" t="s">
        <v>313</v>
      </c>
      <c r="N37" s="51" t="s">
        <v>314</v>
      </c>
      <c r="O37" s="48"/>
      <c r="P37" s="52"/>
      <c r="Q37" s="52"/>
      <c r="R37" s="48"/>
      <c r="S37" s="53"/>
      <c r="T37" s="53"/>
      <c r="U37" s="55">
        <v>0.94399999999999995</v>
      </c>
      <c r="V37" s="54"/>
      <c r="W37" s="54"/>
      <c r="X37" s="183">
        <v>2.2599999999999998</v>
      </c>
      <c r="Y37" s="54"/>
      <c r="Z37" s="54"/>
      <c r="AA37" s="183">
        <v>0.52300000000000002</v>
      </c>
      <c r="AB37" s="183">
        <v>2.601</v>
      </c>
      <c r="AC37" s="101"/>
      <c r="AD37" s="38">
        <f t="shared" si="0"/>
        <v>3</v>
      </c>
      <c r="AE37" s="102"/>
      <c r="AF37" s="102"/>
    </row>
    <row r="38" spans="1:32" s="38" customFormat="1" ht="15" customHeight="1">
      <c r="A38" s="47">
        <v>172</v>
      </c>
      <c r="B38" s="48" t="s">
        <v>302</v>
      </c>
      <c r="C38" s="48">
        <v>2010</v>
      </c>
      <c r="D38" s="48" t="s">
        <v>303</v>
      </c>
      <c r="E38" s="46" t="s">
        <v>305</v>
      </c>
      <c r="F38" s="50">
        <v>40218</v>
      </c>
      <c r="G38" s="48" t="s">
        <v>306</v>
      </c>
      <c r="H38" s="48" t="s">
        <v>39</v>
      </c>
      <c r="I38" s="48"/>
      <c r="J38" s="87" t="s">
        <v>704</v>
      </c>
      <c r="K38" s="48" t="s">
        <v>613</v>
      </c>
      <c r="L38" s="48" t="s">
        <v>307</v>
      </c>
      <c r="M38" s="56" t="s">
        <v>308</v>
      </c>
      <c r="N38" s="56"/>
      <c r="O38" s="48"/>
      <c r="P38" s="48"/>
      <c r="Q38" s="48"/>
      <c r="R38" s="48"/>
      <c r="S38" s="53"/>
      <c r="T38" s="53"/>
      <c r="U38" s="55">
        <v>0.94599999999999995</v>
      </c>
      <c r="V38" s="54"/>
      <c r="W38" s="54"/>
      <c r="X38" s="183">
        <v>2.4660000000000002</v>
      </c>
      <c r="Y38" s="54"/>
      <c r="Z38" s="54"/>
      <c r="AA38" s="183">
        <v>1.0609999999999999</v>
      </c>
      <c r="AB38" s="183">
        <v>3.1579999999999999</v>
      </c>
      <c r="AC38" s="101"/>
      <c r="AD38" s="38">
        <f t="shared" si="0"/>
        <v>3</v>
      </c>
      <c r="AE38" s="102"/>
      <c r="AF38" s="102"/>
    </row>
    <row r="39" spans="1:32" s="38" customFormat="1" ht="15" customHeight="1">
      <c r="A39" s="47">
        <v>172</v>
      </c>
      <c r="B39" s="48" t="s">
        <v>302</v>
      </c>
      <c r="C39" s="48">
        <v>2010</v>
      </c>
      <c r="D39" s="48" t="s">
        <v>303</v>
      </c>
      <c r="E39" s="46" t="s">
        <v>305</v>
      </c>
      <c r="F39" s="50">
        <v>40219</v>
      </c>
      <c r="G39" s="48" t="s">
        <v>306</v>
      </c>
      <c r="H39" s="48" t="s">
        <v>39</v>
      </c>
      <c r="I39" s="48"/>
      <c r="J39" s="87" t="s">
        <v>704</v>
      </c>
      <c r="K39" s="48" t="s">
        <v>614</v>
      </c>
      <c r="L39" s="48" t="s">
        <v>309</v>
      </c>
      <c r="M39" s="51" t="s">
        <v>93</v>
      </c>
      <c r="N39" s="51" t="s">
        <v>310</v>
      </c>
      <c r="O39" s="48"/>
      <c r="P39" s="52"/>
      <c r="Q39" s="52"/>
      <c r="R39" s="48"/>
      <c r="S39" s="53"/>
      <c r="T39" s="53"/>
      <c r="U39" s="55">
        <v>0.93899999999999995</v>
      </c>
      <c r="V39" s="54"/>
      <c r="W39" s="54"/>
      <c r="X39" s="183">
        <v>2.5059999999999998</v>
      </c>
      <c r="Y39" s="54"/>
      <c r="Z39" s="54"/>
      <c r="AA39" s="183">
        <v>0.65</v>
      </c>
      <c r="AB39" s="183">
        <v>2.93</v>
      </c>
      <c r="AC39" s="101"/>
      <c r="AD39" s="38">
        <f t="shared" si="0"/>
        <v>3</v>
      </c>
      <c r="AE39" s="102"/>
      <c r="AF39" s="102"/>
    </row>
    <row r="40" spans="1:32" s="38" customFormat="1" ht="15" customHeight="1">
      <c r="A40" s="47">
        <v>172</v>
      </c>
      <c r="B40" s="48" t="s">
        <v>302</v>
      </c>
      <c r="C40" s="48">
        <v>2010</v>
      </c>
      <c r="D40" s="48" t="s">
        <v>303</v>
      </c>
      <c r="E40" s="46" t="s">
        <v>305</v>
      </c>
      <c r="F40" s="50">
        <v>40231</v>
      </c>
      <c r="G40" s="48" t="s">
        <v>258</v>
      </c>
      <c r="H40" s="48" t="s">
        <v>20</v>
      </c>
      <c r="I40" s="48"/>
      <c r="J40" s="87" t="s">
        <v>604</v>
      </c>
      <c r="K40" s="48" t="s">
        <v>617</v>
      </c>
      <c r="L40" s="48" t="s">
        <v>339</v>
      </c>
      <c r="M40" s="51" t="s">
        <v>340</v>
      </c>
      <c r="N40" s="51" t="s">
        <v>341</v>
      </c>
      <c r="O40" s="48"/>
      <c r="P40" s="52"/>
      <c r="Q40" s="52"/>
      <c r="R40" s="48"/>
      <c r="S40" s="53"/>
      <c r="T40" s="53"/>
      <c r="U40" s="55">
        <v>0.95899999999999996</v>
      </c>
      <c r="V40" s="54"/>
      <c r="W40" s="54"/>
      <c r="X40" s="183">
        <v>1.365</v>
      </c>
      <c r="Y40" s="54"/>
      <c r="Z40" s="54"/>
      <c r="AA40" s="183">
        <v>0.623</v>
      </c>
      <c r="AB40" s="183">
        <v>1.772</v>
      </c>
      <c r="AC40" s="101"/>
      <c r="AD40" s="38">
        <f t="shared" si="0"/>
        <v>3</v>
      </c>
      <c r="AE40" s="102"/>
      <c r="AF40" s="102"/>
    </row>
    <row r="41" spans="1:32" s="38" customFormat="1" ht="15" customHeight="1">
      <c r="A41" s="47">
        <v>172</v>
      </c>
      <c r="B41" s="48" t="s">
        <v>302</v>
      </c>
      <c r="C41" s="48">
        <v>2010</v>
      </c>
      <c r="D41" s="48" t="s">
        <v>303</v>
      </c>
      <c r="E41" s="46" t="s">
        <v>305</v>
      </c>
      <c r="F41" s="50">
        <v>40221</v>
      </c>
      <c r="G41" s="48" t="s">
        <v>311</v>
      </c>
      <c r="H41" s="48" t="s">
        <v>39</v>
      </c>
      <c r="I41" s="48"/>
      <c r="J41" s="87" t="s">
        <v>704</v>
      </c>
      <c r="K41" s="48" t="s">
        <v>624</v>
      </c>
      <c r="L41" s="48" t="s">
        <v>315</v>
      </c>
      <c r="M41" s="51" t="s">
        <v>316</v>
      </c>
      <c r="N41" s="51" t="s">
        <v>317</v>
      </c>
      <c r="O41" s="48"/>
      <c r="P41" s="52"/>
      <c r="Q41" s="52"/>
      <c r="R41" s="48"/>
      <c r="S41" s="53"/>
      <c r="T41" s="53"/>
      <c r="U41" s="55">
        <v>0.93899999999999995</v>
      </c>
      <c r="V41" s="54"/>
      <c r="W41" s="54"/>
      <c r="X41" s="183">
        <v>2.06</v>
      </c>
      <c r="Y41" s="54"/>
      <c r="Z41" s="54"/>
      <c r="AA41" s="183">
        <v>0.33</v>
      </c>
      <c r="AB41" s="183">
        <v>2.2759999999999998</v>
      </c>
      <c r="AC41" s="101"/>
      <c r="AD41" s="38">
        <f t="shared" si="0"/>
        <v>3</v>
      </c>
      <c r="AE41" s="102"/>
      <c r="AF41" s="102"/>
    </row>
    <row r="42" spans="1:32" s="38" customFormat="1" ht="15" customHeight="1">
      <c r="A42" s="47">
        <v>172</v>
      </c>
      <c r="B42" s="48" t="s">
        <v>302</v>
      </c>
      <c r="C42" s="48">
        <v>2010</v>
      </c>
      <c r="D42" s="48" t="s">
        <v>303</v>
      </c>
      <c r="E42" s="46" t="s">
        <v>305</v>
      </c>
      <c r="F42" s="50">
        <v>40233</v>
      </c>
      <c r="G42" s="48" t="s">
        <v>345</v>
      </c>
      <c r="H42" s="48" t="s">
        <v>116</v>
      </c>
      <c r="I42" s="48"/>
      <c r="J42" s="87" t="s">
        <v>750</v>
      </c>
      <c r="K42" s="48" t="s">
        <v>600</v>
      </c>
      <c r="L42" s="48" t="s">
        <v>346</v>
      </c>
      <c r="M42" s="51"/>
      <c r="N42" s="51"/>
      <c r="O42" s="48"/>
      <c r="P42" s="52"/>
      <c r="Q42" s="52"/>
      <c r="R42" s="48"/>
      <c r="S42" s="53"/>
      <c r="T42" s="53"/>
      <c r="U42" s="54">
        <v>0.82699999999999996</v>
      </c>
      <c r="V42" s="55"/>
      <c r="W42" s="55"/>
      <c r="X42" s="184">
        <v>0.73799999999999999</v>
      </c>
      <c r="Y42" s="55"/>
      <c r="Z42" s="55"/>
      <c r="AA42" s="184">
        <v>0.23200000000000001</v>
      </c>
      <c r="AB42" s="184">
        <v>0.89</v>
      </c>
      <c r="AC42" s="101"/>
      <c r="AD42" s="38">
        <f t="shared" si="0"/>
        <v>3</v>
      </c>
      <c r="AE42" s="102"/>
      <c r="AF42" s="102"/>
    </row>
    <row r="43" spans="1:32" s="38" customFormat="1" ht="15" customHeight="1">
      <c r="A43" s="47">
        <v>172</v>
      </c>
      <c r="B43" s="48" t="s">
        <v>302</v>
      </c>
      <c r="C43" s="48">
        <v>2010</v>
      </c>
      <c r="D43" s="48" t="s">
        <v>303</v>
      </c>
      <c r="E43" s="46" t="s">
        <v>305</v>
      </c>
      <c r="F43" s="50">
        <v>40222</v>
      </c>
      <c r="G43" s="48" t="s">
        <v>311</v>
      </c>
      <c r="H43" s="48" t="s">
        <v>39</v>
      </c>
      <c r="I43" s="48"/>
      <c r="J43" s="87" t="s">
        <v>704</v>
      </c>
      <c r="K43" s="48" t="s">
        <v>611</v>
      </c>
      <c r="L43" s="48" t="s">
        <v>318</v>
      </c>
      <c r="M43" s="51" t="s">
        <v>319</v>
      </c>
      <c r="N43" s="51" t="s">
        <v>320</v>
      </c>
      <c r="O43" s="48"/>
      <c r="P43" s="52"/>
      <c r="Q43" s="52"/>
      <c r="R43" s="48"/>
      <c r="S43" s="53"/>
      <c r="T43" s="53"/>
      <c r="U43" s="55">
        <v>0.94799999999999995</v>
      </c>
      <c r="V43" s="54"/>
      <c r="W43" s="54"/>
      <c r="X43" s="183">
        <v>2.3109999999999999</v>
      </c>
      <c r="Y43" s="54"/>
      <c r="Z43" s="54"/>
      <c r="AA43" s="183">
        <v>0.55200000000000005</v>
      </c>
      <c r="AB43" s="183">
        <v>2.6720000000000002</v>
      </c>
      <c r="AC43" s="101"/>
      <c r="AD43" s="38">
        <f t="shared" si="0"/>
        <v>3</v>
      </c>
      <c r="AE43" s="102"/>
      <c r="AF43" s="102"/>
    </row>
    <row r="44" spans="1:32" s="38" customFormat="1" ht="15" customHeight="1">
      <c r="A44" s="47">
        <v>172</v>
      </c>
      <c r="B44" s="48" t="s">
        <v>302</v>
      </c>
      <c r="C44" s="48">
        <v>2010</v>
      </c>
      <c r="D44" s="48" t="s">
        <v>303</v>
      </c>
      <c r="E44" s="46" t="s">
        <v>305</v>
      </c>
      <c r="F44" s="50">
        <v>40223</v>
      </c>
      <c r="G44" s="48" t="s">
        <v>311</v>
      </c>
      <c r="H44" s="48" t="s">
        <v>39</v>
      </c>
      <c r="I44" s="48"/>
      <c r="J44" s="87" t="s">
        <v>704</v>
      </c>
      <c r="K44" s="48" t="s">
        <v>612</v>
      </c>
      <c r="L44" s="48" t="s">
        <v>321</v>
      </c>
      <c r="M44" s="51" t="s">
        <v>322</v>
      </c>
      <c r="N44" s="51" t="s">
        <v>323</v>
      </c>
      <c r="O44" s="48"/>
      <c r="P44" s="52"/>
      <c r="Q44" s="52"/>
      <c r="R44" s="48"/>
      <c r="S44" s="53"/>
      <c r="T44" s="53"/>
      <c r="U44" s="55">
        <v>0.95199999999999996</v>
      </c>
      <c r="V44" s="54"/>
      <c r="W44" s="54"/>
      <c r="X44" s="183">
        <v>2.327</v>
      </c>
      <c r="Y44" s="54"/>
      <c r="Z44" s="54"/>
      <c r="AA44" s="183">
        <v>0.60099999999999998</v>
      </c>
      <c r="AB44" s="183">
        <v>2.7189999999999999</v>
      </c>
      <c r="AC44" s="101"/>
      <c r="AD44" s="38">
        <f t="shared" si="0"/>
        <v>3</v>
      </c>
      <c r="AE44" s="102"/>
      <c r="AF44" s="102"/>
    </row>
    <row r="45" spans="1:32" s="38" customFormat="1" ht="15" customHeight="1">
      <c r="A45" s="47">
        <v>172</v>
      </c>
      <c r="B45" s="48" t="s">
        <v>302</v>
      </c>
      <c r="C45" s="48">
        <v>2010</v>
      </c>
      <c r="D45" s="48" t="s">
        <v>303</v>
      </c>
      <c r="E45" s="46" t="s">
        <v>305</v>
      </c>
      <c r="F45" s="50">
        <v>40224</v>
      </c>
      <c r="G45" s="48" t="s">
        <v>324</v>
      </c>
      <c r="H45" s="48" t="s">
        <v>301</v>
      </c>
      <c r="I45" s="48"/>
      <c r="J45" s="87" t="s">
        <v>704</v>
      </c>
      <c r="K45" s="48" t="s">
        <v>681</v>
      </c>
      <c r="L45" s="48" t="s">
        <v>325</v>
      </c>
      <c r="M45" s="51" t="s">
        <v>326</v>
      </c>
      <c r="N45" s="51"/>
      <c r="O45" s="48"/>
      <c r="P45" s="52"/>
      <c r="Q45" s="52"/>
      <c r="R45" s="48"/>
      <c r="S45" s="53"/>
      <c r="T45" s="53"/>
      <c r="U45" s="55">
        <v>0.95399999999999996</v>
      </c>
      <c r="V45" s="54"/>
      <c r="W45" s="54"/>
      <c r="X45" s="183">
        <v>2.6110000000000002</v>
      </c>
      <c r="Y45" s="54"/>
      <c r="Z45" s="54"/>
      <c r="AA45" s="183">
        <v>0.79</v>
      </c>
      <c r="AB45" s="183">
        <v>3.1259999999999999</v>
      </c>
      <c r="AC45" s="101"/>
      <c r="AD45" s="38">
        <f t="shared" si="0"/>
        <v>3</v>
      </c>
      <c r="AE45" s="102"/>
      <c r="AF45" s="102"/>
    </row>
    <row r="46" spans="1:32" s="38" customFormat="1" ht="15" customHeight="1">
      <c r="A46" s="47">
        <v>172</v>
      </c>
      <c r="B46" s="48" t="s">
        <v>302</v>
      </c>
      <c r="C46" s="48">
        <v>2010</v>
      </c>
      <c r="D46" s="48" t="s">
        <v>303</v>
      </c>
      <c r="E46" s="46" t="s">
        <v>305</v>
      </c>
      <c r="F46" s="50">
        <v>40225</v>
      </c>
      <c r="G46" s="48" t="s">
        <v>324</v>
      </c>
      <c r="H46" s="48" t="s">
        <v>301</v>
      </c>
      <c r="I46" s="48"/>
      <c r="J46" s="87" t="s">
        <v>705</v>
      </c>
      <c r="K46" s="48" t="s">
        <v>650</v>
      </c>
      <c r="L46" s="48" t="s">
        <v>327</v>
      </c>
      <c r="M46" s="51" t="s">
        <v>328</v>
      </c>
      <c r="N46" s="51" t="s">
        <v>329</v>
      </c>
      <c r="O46" s="48"/>
      <c r="P46" s="52"/>
      <c r="Q46" s="52"/>
      <c r="R46" s="48"/>
      <c r="S46" s="53"/>
      <c r="T46" s="53"/>
      <c r="U46" s="55">
        <v>0.97099999999999997</v>
      </c>
      <c r="V46" s="54"/>
      <c r="W46" s="54"/>
      <c r="X46" s="183">
        <v>2.8069999999999999</v>
      </c>
      <c r="Y46" s="54"/>
      <c r="Z46" s="54"/>
      <c r="AA46" s="183">
        <v>0.56599999999999995</v>
      </c>
      <c r="AB46" s="183">
        <v>3.1760000000000002</v>
      </c>
      <c r="AC46" s="101"/>
      <c r="AD46" s="38">
        <f t="shared" si="0"/>
        <v>3</v>
      </c>
      <c r="AE46" s="102"/>
      <c r="AF46" s="102"/>
    </row>
    <row r="47" spans="1:32" s="38" customFormat="1" ht="15" customHeight="1">
      <c r="A47" s="47">
        <v>172</v>
      </c>
      <c r="B47" s="48" t="s">
        <v>302</v>
      </c>
      <c r="C47" s="48">
        <v>2010</v>
      </c>
      <c r="D47" s="48" t="s">
        <v>303</v>
      </c>
      <c r="E47" s="46" t="s">
        <v>305</v>
      </c>
      <c r="F47" s="50">
        <v>40226</v>
      </c>
      <c r="G47" s="48" t="s">
        <v>324</v>
      </c>
      <c r="H47" s="48" t="s">
        <v>301</v>
      </c>
      <c r="I47" s="48"/>
      <c r="J47" s="87" t="s">
        <v>705</v>
      </c>
      <c r="K47" s="48" t="s">
        <v>651</v>
      </c>
      <c r="L47" s="48" t="s">
        <v>330</v>
      </c>
      <c r="M47" s="51" t="s">
        <v>328</v>
      </c>
      <c r="N47" s="51" t="s">
        <v>331</v>
      </c>
      <c r="O47" s="48"/>
      <c r="P47" s="52"/>
      <c r="Q47" s="52"/>
      <c r="R47" s="48"/>
      <c r="S47" s="53"/>
      <c r="T47" s="53"/>
      <c r="U47" s="55">
        <v>0.96499999999999997</v>
      </c>
      <c r="V47" s="54"/>
      <c r="W47" s="54"/>
      <c r="X47" s="183">
        <v>2.8319999999999999</v>
      </c>
      <c r="Y47" s="54"/>
      <c r="Z47" s="54"/>
      <c r="AA47" s="183">
        <v>0.496</v>
      </c>
      <c r="AB47" s="183">
        <v>3.1560000000000001</v>
      </c>
      <c r="AC47" s="101"/>
      <c r="AD47" s="38">
        <f t="shared" si="0"/>
        <v>3</v>
      </c>
      <c r="AE47" s="102"/>
      <c r="AF47" s="102"/>
    </row>
    <row r="48" spans="1:32" s="38" customFormat="1" ht="15" customHeight="1">
      <c r="A48" s="47">
        <v>172</v>
      </c>
      <c r="B48" s="48" t="s">
        <v>302</v>
      </c>
      <c r="C48" s="48">
        <v>2010</v>
      </c>
      <c r="D48" s="48" t="s">
        <v>303</v>
      </c>
      <c r="E48" s="46" t="s">
        <v>305</v>
      </c>
      <c r="F48" s="50">
        <v>40227</v>
      </c>
      <c r="G48" s="48" t="s">
        <v>332</v>
      </c>
      <c r="H48" s="48" t="s">
        <v>18</v>
      </c>
      <c r="I48" s="48"/>
      <c r="J48" s="87" t="s">
        <v>703</v>
      </c>
      <c r="K48" s="87" t="s">
        <v>627</v>
      </c>
      <c r="L48" s="48" t="s">
        <v>333</v>
      </c>
      <c r="M48" s="51"/>
      <c r="N48" s="51"/>
      <c r="O48" s="48"/>
      <c r="P48" s="52"/>
      <c r="Q48" s="52"/>
      <c r="R48" s="48"/>
      <c r="S48" s="53"/>
      <c r="T48" s="53"/>
      <c r="U48" s="55">
        <v>0.89400000000000002</v>
      </c>
      <c r="V48" s="54"/>
      <c r="W48" s="54"/>
      <c r="X48" s="183">
        <v>1.86</v>
      </c>
      <c r="Y48" s="54"/>
      <c r="Z48" s="54"/>
      <c r="AA48" s="183">
        <v>0.93200000000000005</v>
      </c>
      <c r="AB48" s="183">
        <v>2.468</v>
      </c>
      <c r="AC48" s="101"/>
      <c r="AD48" s="38">
        <f t="shared" si="0"/>
        <v>3</v>
      </c>
      <c r="AE48" s="102"/>
      <c r="AF48" s="102"/>
    </row>
    <row r="49" spans="1:32" s="38" customFormat="1" ht="15" customHeight="1">
      <c r="A49" s="47">
        <v>172</v>
      </c>
      <c r="B49" s="48" t="s">
        <v>302</v>
      </c>
      <c r="C49" s="48">
        <v>2010</v>
      </c>
      <c r="D49" s="48" t="s">
        <v>303</v>
      </c>
      <c r="E49" s="46" t="s">
        <v>305</v>
      </c>
      <c r="F49" s="50">
        <v>40230</v>
      </c>
      <c r="G49" s="48" t="s">
        <v>258</v>
      </c>
      <c r="H49" s="48" t="s">
        <v>20</v>
      </c>
      <c r="I49" s="48"/>
      <c r="J49" s="87" t="s">
        <v>593</v>
      </c>
      <c r="K49" s="48" t="s">
        <v>609</v>
      </c>
      <c r="L49" s="48" t="s">
        <v>336</v>
      </c>
      <c r="M49" s="56" t="s">
        <v>337</v>
      </c>
      <c r="N49" s="56" t="s">
        <v>338</v>
      </c>
      <c r="O49" s="48"/>
      <c r="P49" s="52"/>
      <c r="Q49" s="52"/>
      <c r="R49" s="48"/>
      <c r="S49" s="53"/>
      <c r="T49" s="53"/>
      <c r="U49" s="55">
        <v>0.95299999999999996</v>
      </c>
      <c r="V49" s="54"/>
      <c r="W49" s="54"/>
      <c r="X49" s="183">
        <v>1.1479999999999999</v>
      </c>
      <c r="Y49" s="54"/>
      <c r="Z49" s="54"/>
      <c r="AA49" s="183">
        <v>1.3460000000000001</v>
      </c>
      <c r="AB49" s="183">
        <v>2.0249999999999999</v>
      </c>
      <c r="AC49" s="101"/>
      <c r="AD49" s="38">
        <f t="shared" si="0"/>
        <v>3</v>
      </c>
      <c r="AE49" s="102"/>
      <c r="AF49" s="102"/>
    </row>
    <row r="50" spans="1:32" s="38" customFormat="1" ht="15" customHeight="1">
      <c r="A50" s="47">
        <v>172</v>
      </c>
      <c r="B50" s="48" t="s">
        <v>302</v>
      </c>
      <c r="C50" s="48">
        <v>2010</v>
      </c>
      <c r="D50" s="48" t="s">
        <v>303</v>
      </c>
      <c r="E50" s="46" t="s">
        <v>305</v>
      </c>
      <c r="F50" s="50">
        <v>40235</v>
      </c>
      <c r="G50" s="48" t="s">
        <v>347</v>
      </c>
      <c r="H50" s="48" t="s">
        <v>49</v>
      </c>
      <c r="I50" s="48"/>
      <c r="J50" s="87" t="s">
        <v>706</v>
      </c>
      <c r="K50" s="48" t="s">
        <v>654</v>
      </c>
      <c r="L50" s="48" t="s">
        <v>350</v>
      </c>
      <c r="M50" s="56" t="s">
        <v>351</v>
      </c>
      <c r="N50" s="56"/>
      <c r="O50" s="48"/>
      <c r="P50" s="52"/>
      <c r="Q50" s="52"/>
      <c r="R50" s="48"/>
      <c r="S50" s="53"/>
      <c r="T50" s="53"/>
      <c r="U50" s="54">
        <v>0.95899999999999996</v>
      </c>
      <c r="V50" s="53"/>
      <c r="W50" s="53"/>
      <c r="X50" s="180">
        <v>2.0499999999999998</v>
      </c>
      <c r="Y50" s="53"/>
      <c r="Z50" s="53"/>
      <c r="AA50" s="180">
        <v>0.86499999999999999</v>
      </c>
      <c r="AB50" s="180">
        <v>2.6139999999999999</v>
      </c>
      <c r="AC50" s="101"/>
      <c r="AD50" s="38">
        <f t="shared" si="0"/>
        <v>3</v>
      </c>
      <c r="AE50" s="102"/>
      <c r="AF50" s="102"/>
    </row>
    <row r="51" spans="1:32" s="38" customFormat="1" ht="15" customHeight="1">
      <c r="A51" s="47">
        <v>172</v>
      </c>
      <c r="B51" s="48" t="s">
        <v>302</v>
      </c>
      <c r="C51" s="48">
        <v>2010</v>
      </c>
      <c r="D51" s="48" t="s">
        <v>303</v>
      </c>
      <c r="E51" s="46" t="s">
        <v>305</v>
      </c>
      <c r="F51" s="50">
        <v>40234</v>
      </c>
      <c r="G51" s="48" t="s">
        <v>347</v>
      </c>
      <c r="H51" s="48" t="s">
        <v>49</v>
      </c>
      <c r="I51" s="48"/>
      <c r="J51" s="87" t="s">
        <v>706</v>
      </c>
      <c r="K51" s="48" t="s">
        <v>682</v>
      </c>
      <c r="L51" s="48" t="s">
        <v>348</v>
      </c>
      <c r="M51" s="51" t="s">
        <v>349</v>
      </c>
      <c r="N51" s="51"/>
      <c r="O51" s="48"/>
      <c r="P51" s="52"/>
      <c r="Q51" s="52"/>
      <c r="R51" s="48"/>
      <c r="S51" s="53"/>
      <c r="T51" s="53"/>
      <c r="U51" s="54">
        <v>0.93400000000000005</v>
      </c>
      <c r="V51" s="55"/>
      <c r="W51" s="55"/>
      <c r="X51" s="184">
        <v>1.7350000000000001</v>
      </c>
      <c r="Y51" s="55"/>
      <c r="Z51" s="55"/>
      <c r="AA51" s="184">
        <v>1.5820000000000001</v>
      </c>
      <c r="AB51" s="184">
        <v>2.7669999999999999</v>
      </c>
      <c r="AC51" s="101"/>
      <c r="AD51" s="38">
        <f t="shared" si="0"/>
        <v>3</v>
      </c>
      <c r="AE51" s="102"/>
      <c r="AF51" s="102"/>
    </row>
    <row r="52" spans="1:32" s="38" customFormat="1" ht="15" customHeight="1">
      <c r="A52" s="47">
        <v>172</v>
      </c>
      <c r="B52" s="48" t="s">
        <v>302</v>
      </c>
      <c r="C52" s="48">
        <v>2010</v>
      </c>
      <c r="D52" s="48" t="s">
        <v>303</v>
      </c>
      <c r="E52" s="46" t="s">
        <v>305</v>
      </c>
      <c r="F52" s="50">
        <v>40232</v>
      </c>
      <c r="G52" s="48" t="s">
        <v>258</v>
      </c>
      <c r="H52" s="48" t="s">
        <v>20</v>
      </c>
      <c r="I52" s="48"/>
      <c r="J52" s="87" t="s">
        <v>604</v>
      </c>
      <c r="K52" s="48" t="s">
        <v>618</v>
      </c>
      <c r="L52" s="48" t="s">
        <v>342</v>
      </c>
      <c r="M52" s="51" t="s">
        <v>343</v>
      </c>
      <c r="N52" s="51" t="s">
        <v>344</v>
      </c>
      <c r="O52" s="48"/>
      <c r="P52" s="52"/>
      <c r="Q52" s="52"/>
      <c r="R52" s="48"/>
      <c r="S52" s="53"/>
      <c r="T52" s="53"/>
      <c r="U52" s="55">
        <v>0.95399999999999996</v>
      </c>
      <c r="V52" s="54"/>
      <c r="W52" s="54"/>
      <c r="X52" s="183">
        <v>1.849</v>
      </c>
      <c r="Y52" s="54"/>
      <c r="Z52" s="54"/>
      <c r="AA52" s="183">
        <v>0.88600000000000001</v>
      </c>
      <c r="AB52" s="183">
        <v>2.427</v>
      </c>
      <c r="AC52" s="101"/>
      <c r="AD52" s="38">
        <f t="shared" si="0"/>
        <v>3</v>
      </c>
      <c r="AE52" s="102"/>
      <c r="AF52" s="102"/>
    </row>
    <row r="53" spans="1:32" s="38" customFormat="1" ht="15" customHeight="1">
      <c r="A53" s="47">
        <v>173</v>
      </c>
      <c r="B53" s="48" t="s">
        <v>302</v>
      </c>
      <c r="C53" s="48">
        <v>2011</v>
      </c>
      <c r="D53" s="74" t="s">
        <v>352</v>
      </c>
      <c r="E53" s="46" t="s">
        <v>354</v>
      </c>
      <c r="F53" s="50" t="s">
        <v>382</v>
      </c>
      <c r="G53" s="48" t="s">
        <v>383</v>
      </c>
      <c r="H53" s="48" t="s">
        <v>39</v>
      </c>
      <c r="I53" s="48"/>
      <c r="J53" s="87" t="s">
        <v>704</v>
      </c>
      <c r="K53" s="48" t="s">
        <v>612</v>
      </c>
      <c r="L53" s="48" t="s">
        <v>384</v>
      </c>
      <c r="M53" s="56"/>
      <c r="N53" s="56"/>
      <c r="O53" s="48" t="s">
        <v>385</v>
      </c>
      <c r="P53" s="52"/>
      <c r="Q53" s="52"/>
      <c r="R53" s="48"/>
      <c r="S53" s="53"/>
      <c r="T53" s="53"/>
      <c r="U53" s="54">
        <v>0.93300000000000005</v>
      </c>
      <c r="V53" s="53"/>
      <c r="W53" s="53"/>
      <c r="X53" s="180">
        <v>0.93</v>
      </c>
      <c r="Y53" s="53"/>
      <c r="Z53" s="53"/>
      <c r="AA53" s="180">
        <v>2.86</v>
      </c>
      <c r="AB53" s="180">
        <v>2.62</v>
      </c>
      <c r="AC53" s="101"/>
      <c r="AD53" s="38">
        <f t="shared" si="0"/>
        <v>3</v>
      </c>
      <c r="AE53" s="102"/>
      <c r="AF53" s="102"/>
    </row>
    <row r="54" spans="1:32" s="38" customFormat="1" ht="15" customHeight="1">
      <c r="A54" s="47">
        <v>173</v>
      </c>
      <c r="B54" s="48" t="s">
        <v>302</v>
      </c>
      <c r="C54" s="48">
        <v>2011</v>
      </c>
      <c r="D54" s="74" t="s">
        <v>352</v>
      </c>
      <c r="E54" s="46" t="s">
        <v>354</v>
      </c>
      <c r="F54" s="50" t="s">
        <v>386</v>
      </c>
      <c r="G54" s="48" t="s">
        <v>387</v>
      </c>
      <c r="H54" s="48" t="s">
        <v>39</v>
      </c>
      <c r="I54" s="48"/>
      <c r="J54" s="87" t="s">
        <v>704</v>
      </c>
      <c r="K54" s="48" t="s">
        <v>624</v>
      </c>
      <c r="L54" s="48" t="s">
        <v>388</v>
      </c>
      <c r="M54" s="56"/>
      <c r="N54" s="56"/>
      <c r="O54" s="48" t="s">
        <v>389</v>
      </c>
      <c r="P54" s="52"/>
      <c r="Q54" s="52"/>
      <c r="R54" s="48"/>
      <c r="S54" s="53"/>
      <c r="T54" s="53"/>
      <c r="U54" s="54">
        <v>0.94699999999999995</v>
      </c>
      <c r="V54" s="53"/>
      <c r="W54" s="53"/>
      <c r="X54" s="180"/>
      <c r="Y54" s="53"/>
      <c r="Z54" s="53"/>
      <c r="AA54" s="180">
        <v>2.2799999999999998</v>
      </c>
      <c r="AB54" s="180">
        <v>1.49</v>
      </c>
      <c r="AC54" s="101"/>
      <c r="AD54" s="38">
        <f t="shared" si="0"/>
        <v>2</v>
      </c>
      <c r="AE54" s="102"/>
      <c r="AF54" s="102"/>
    </row>
    <row r="55" spans="1:32" s="38" customFormat="1" ht="15" customHeight="1">
      <c r="A55" s="47">
        <v>173</v>
      </c>
      <c r="B55" s="48" t="s">
        <v>302</v>
      </c>
      <c r="C55" s="48">
        <v>2011</v>
      </c>
      <c r="D55" s="74" t="s">
        <v>352</v>
      </c>
      <c r="E55" s="46" t="s">
        <v>354</v>
      </c>
      <c r="F55" s="50" t="s">
        <v>378</v>
      </c>
      <c r="G55" s="48" t="s">
        <v>311</v>
      </c>
      <c r="H55" s="48" t="s">
        <v>39</v>
      </c>
      <c r="I55" s="48"/>
      <c r="J55" s="87" t="s">
        <v>704</v>
      </c>
      <c r="K55" s="48" t="s">
        <v>624</v>
      </c>
      <c r="L55" s="48" t="s">
        <v>376</v>
      </c>
      <c r="M55" s="56"/>
      <c r="N55" s="56"/>
      <c r="O55" s="48" t="s">
        <v>379</v>
      </c>
      <c r="P55" s="52"/>
      <c r="Q55" s="52"/>
      <c r="R55" s="48"/>
      <c r="S55" s="53"/>
      <c r="T55" s="53"/>
      <c r="U55" s="54">
        <v>0.93799999999999994</v>
      </c>
      <c r="V55" s="53"/>
      <c r="W55" s="53"/>
      <c r="X55" s="180">
        <v>0.56999999999999995</v>
      </c>
      <c r="Y55" s="53"/>
      <c r="Z55" s="53"/>
      <c r="AA55" s="180">
        <v>2.5499999999999998</v>
      </c>
      <c r="AB55" s="180">
        <v>2.17</v>
      </c>
      <c r="AC55" s="101"/>
      <c r="AD55" s="38">
        <f t="shared" si="0"/>
        <v>3</v>
      </c>
      <c r="AE55" s="102"/>
      <c r="AF55" s="102"/>
    </row>
    <row r="56" spans="1:32" s="38" customFormat="1" ht="15" customHeight="1">
      <c r="A56" s="47">
        <v>173</v>
      </c>
      <c r="B56" s="48" t="s">
        <v>302</v>
      </c>
      <c r="C56" s="48">
        <v>2011</v>
      </c>
      <c r="D56" s="74" t="s">
        <v>352</v>
      </c>
      <c r="E56" s="46" t="s">
        <v>354</v>
      </c>
      <c r="F56" s="50" t="s">
        <v>375</v>
      </c>
      <c r="G56" s="48" t="s">
        <v>311</v>
      </c>
      <c r="H56" s="48" t="s">
        <v>39</v>
      </c>
      <c r="I56" s="48"/>
      <c r="J56" s="87" t="s">
        <v>704</v>
      </c>
      <c r="K56" s="48" t="s">
        <v>624</v>
      </c>
      <c r="L56" s="48" t="s">
        <v>376</v>
      </c>
      <c r="M56" s="56"/>
      <c r="N56" s="56"/>
      <c r="O56" s="48" t="s">
        <v>377</v>
      </c>
      <c r="P56" s="52"/>
      <c r="Q56" s="52"/>
      <c r="R56" s="48"/>
      <c r="S56" s="53"/>
      <c r="T56" s="53"/>
      <c r="U56" s="54">
        <v>0.95</v>
      </c>
      <c r="V56" s="53"/>
      <c r="W56" s="53"/>
      <c r="X56" s="180">
        <v>0.95</v>
      </c>
      <c r="Y56" s="53"/>
      <c r="Z56" s="53"/>
      <c r="AA56" s="180">
        <v>1.76</v>
      </c>
      <c r="AB56" s="180">
        <v>2.08</v>
      </c>
      <c r="AC56" s="101"/>
      <c r="AD56" s="38">
        <f t="shared" si="0"/>
        <v>3</v>
      </c>
      <c r="AE56" s="102"/>
      <c r="AF56" s="102"/>
    </row>
    <row r="57" spans="1:32" s="38" customFormat="1" ht="15" customHeight="1">
      <c r="A57" s="47">
        <v>173</v>
      </c>
      <c r="B57" s="48" t="s">
        <v>302</v>
      </c>
      <c r="C57" s="48">
        <v>2011</v>
      </c>
      <c r="D57" s="74" t="s">
        <v>352</v>
      </c>
      <c r="E57" s="46" t="s">
        <v>354</v>
      </c>
      <c r="F57" s="50" t="s">
        <v>355</v>
      </c>
      <c r="G57" s="48" t="s">
        <v>258</v>
      </c>
      <c r="H57" s="48" t="s">
        <v>20</v>
      </c>
      <c r="I57" s="48"/>
      <c r="J57" s="87" t="s">
        <v>703</v>
      </c>
      <c r="K57" s="48" t="s">
        <v>620</v>
      </c>
      <c r="L57" s="48" t="s">
        <v>356</v>
      </c>
      <c r="M57" s="56"/>
      <c r="N57" s="56"/>
      <c r="O57" s="48" t="s">
        <v>357</v>
      </c>
      <c r="P57" s="52"/>
      <c r="Q57" s="52"/>
      <c r="R57" s="48"/>
      <c r="S57" s="53"/>
      <c r="T57" s="53"/>
      <c r="U57" s="54">
        <v>0.94299999999999995</v>
      </c>
      <c r="V57" s="53"/>
      <c r="W57" s="53"/>
      <c r="X57" s="180">
        <v>0.83</v>
      </c>
      <c r="Y57" s="53"/>
      <c r="Z57" s="53"/>
      <c r="AA57" s="180">
        <v>3.3</v>
      </c>
      <c r="AB57" s="180">
        <v>2.94</v>
      </c>
      <c r="AC57" s="101"/>
      <c r="AD57" s="38">
        <f t="shared" si="0"/>
        <v>3</v>
      </c>
      <c r="AE57" s="102"/>
      <c r="AF57" s="102"/>
    </row>
    <row r="58" spans="1:32" s="38" customFormat="1" ht="15" customHeight="1">
      <c r="A58" s="47">
        <v>173</v>
      </c>
      <c r="B58" s="48" t="s">
        <v>302</v>
      </c>
      <c r="C58" s="48">
        <v>2011</v>
      </c>
      <c r="D58" s="74" t="s">
        <v>352</v>
      </c>
      <c r="E58" s="46" t="s">
        <v>354</v>
      </c>
      <c r="F58" s="50" t="s">
        <v>358</v>
      </c>
      <c r="G58" s="48" t="s">
        <v>359</v>
      </c>
      <c r="H58" s="48" t="s">
        <v>20</v>
      </c>
      <c r="I58" s="48"/>
      <c r="J58" s="87" t="s">
        <v>703</v>
      </c>
      <c r="K58" s="48" t="s">
        <v>615</v>
      </c>
      <c r="L58" s="48" t="s">
        <v>356</v>
      </c>
      <c r="M58" s="56"/>
      <c r="N58" s="56"/>
      <c r="O58" s="48" t="s">
        <v>362</v>
      </c>
      <c r="P58" s="52"/>
      <c r="Q58" s="52"/>
      <c r="R58" s="48"/>
      <c r="S58" s="53"/>
      <c r="T58" s="53"/>
      <c r="U58" s="54">
        <v>0.95699999999999996</v>
      </c>
      <c r="V58" s="53"/>
      <c r="W58" s="53"/>
      <c r="X58" s="180">
        <v>1.1200000000000001</v>
      </c>
      <c r="Y58" s="53"/>
      <c r="Z58" s="53"/>
      <c r="AA58" s="180">
        <v>2.56</v>
      </c>
      <c r="AB58" s="180">
        <v>2.78</v>
      </c>
      <c r="AC58" s="101"/>
      <c r="AD58" s="38">
        <f t="shared" si="0"/>
        <v>3</v>
      </c>
      <c r="AE58" s="102"/>
      <c r="AF58" s="102"/>
    </row>
    <row r="59" spans="1:32" s="38" customFormat="1" ht="15" customHeight="1">
      <c r="A59" s="47">
        <v>173</v>
      </c>
      <c r="B59" s="48" t="s">
        <v>302</v>
      </c>
      <c r="C59" s="48">
        <v>2011</v>
      </c>
      <c r="D59" s="74" t="s">
        <v>352</v>
      </c>
      <c r="E59" s="46" t="s">
        <v>354</v>
      </c>
      <c r="F59" s="50" t="s">
        <v>369</v>
      </c>
      <c r="G59" s="48" t="s">
        <v>370</v>
      </c>
      <c r="H59" s="48" t="s">
        <v>39</v>
      </c>
      <c r="I59" s="48"/>
      <c r="J59" s="87" t="s">
        <v>706</v>
      </c>
      <c r="K59" s="48" t="s">
        <v>728</v>
      </c>
      <c r="L59" s="48" t="s">
        <v>373</v>
      </c>
      <c r="M59" s="56"/>
      <c r="N59" s="56"/>
      <c r="O59" s="48" t="s">
        <v>374</v>
      </c>
      <c r="P59" s="52"/>
      <c r="Q59" s="52"/>
      <c r="R59" s="48"/>
      <c r="S59" s="53"/>
      <c r="T59" s="53"/>
      <c r="U59" s="54">
        <v>0.88500000000000001</v>
      </c>
      <c r="V59" s="53"/>
      <c r="W59" s="53"/>
      <c r="X59" s="180">
        <v>0.5</v>
      </c>
      <c r="Y59" s="53"/>
      <c r="Z59" s="53"/>
      <c r="AA59" s="180">
        <v>2.85</v>
      </c>
      <c r="AB59" s="180">
        <v>2.09</v>
      </c>
      <c r="AC59" s="101"/>
      <c r="AD59" s="38">
        <f t="shared" si="0"/>
        <v>3</v>
      </c>
      <c r="AE59" s="102"/>
      <c r="AF59" s="102"/>
    </row>
    <row r="60" spans="1:32" s="38" customFormat="1" ht="15" customHeight="1">
      <c r="A60" s="47">
        <v>173</v>
      </c>
      <c r="B60" s="48" t="s">
        <v>302</v>
      </c>
      <c r="C60" s="48">
        <v>2011</v>
      </c>
      <c r="D60" s="74" t="s">
        <v>352</v>
      </c>
      <c r="E60" s="46" t="s">
        <v>354</v>
      </c>
      <c r="F60" s="50" t="s">
        <v>390</v>
      </c>
      <c r="G60" s="48" t="s">
        <v>391</v>
      </c>
      <c r="H60" s="48" t="s">
        <v>301</v>
      </c>
      <c r="I60" s="48"/>
      <c r="J60" s="87" t="s">
        <v>705</v>
      </c>
      <c r="K60" s="48" t="s">
        <v>652</v>
      </c>
      <c r="L60" s="48" t="s">
        <v>392</v>
      </c>
      <c r="M60" s="56"/>
      <c r="N60" s="56"/>
      <c r="O60" s="48" t="s">
        <v>393</v>
      </c>
      <c r="P60" s="52"/>
      <c r="Q60" s="52"/>
      <c r="R60" s="48"/>
      <c r="S60" s="53"/>
      <c r="T60" s="53"/>
      <c r="U60" s="54">
        <v>0.94</v>
      </c>
      <c r="V60" s="53"/>
      <c r="W60" s="53"/>
      <c r="X60" s="180">
        <v>0.87</v>
      </c>
      <c r="Y60" s="53"/>
      <c r="Z60" s="53"/>
      <c r="AA60" s="180">
        <v>4.4800000000000004</v>
      </c>
      <c r="AB60" s="180">
        <v>3.42</v>
      </c>
      <c r="AC60" s="101"/>
      <c r="AD60" s="38">
        <f t="shared" si="0"/>
        <v>3</v>
      </c>
      <c r="AE60" s="102"/>
      <c r="AF60" s="102"/>
    </row>
    <row r="61" spans="1:32" s="38" customFormat="1" ht="15" customHeight="1">
      <c r="A61" s="47">
        <v>173</v>
      </c>
      <c r="B61" s="48" t="s">
        <v>302</v>
      </c>
      <c r="C61" s="48">
        <v>2011</v>
      </c>
      <c r="D61" s="74" t="s">
        <v>352</v>
      </c>
      <c r="E61" s="46" t="s">
        <v>354</v>
      </c>
      <c r="F61" s="50" t="s">
        <v>358</v>
      </c>
      <c r="G61" s="48" t="s">
        <v>359</v>
      </c>
      <c r="H61" s="48" t="s">
        <v>20</v>
      </c>
      <c r="I61" s="48"/>
      <c r="J61" s="87" t="s">
        <v>703</v>
      </c>
      <c r="K61" s="48" t="s">
        <v>622</v>
      </c>
      <c r="L61" s="48" t="s">
        <v>360</v>
      </c>
      <c r="M61" s="56"/>
      <c r="N61" s="56"/>
      <c r="O61" s="48" t="s">
        <v>361</v>
      </c>
      <c r="P61" s="52"/>
      <c r="Q61" s="52"/>
      <c r="R61" s="48"/>
      <c r="S61" s="53"/>
      <c r="T61" s="53"/>
      <c r="U61" s="54">
        <v>0.95099999999999996</v>
      </c>
      <c r="V61" s="53"/>
      <c r="W61" s="53"/>
      <c r="X61" s="180">
        <v>1.28</v>
      </c>
      <c r="Y61" s="53"/>
      <c r="Z61" s="53"/>
      <c r="AA61" s="180">
        <v>2.46</v>
      </c>
      <c r="AB61" s="180">
        <v>2.89</v>
      </c>
      <c r="AC61" s="101"/>
      <c r="AD61" s="38">
        <f t="shared" si="0"/>
        <v>3</v>
      </c>
      <c r="AE61" s="102"/>
      <c r="AF61" s="102"/>
    </row>
    <row r="62" spans="1:32" s="38" customFormat="1" ht="15" customHeight="1">
      <c r="A62" s="47">
        <v>173</v>
      </c>
      <c r="B62" s="48" t="s">
        <v>302</v>
      </c>
      <c r="C62" s="48">
        <v>2011</v>
      </c>
      <c r="D62" s="74" t="s">
        <v>352</v>
      </c>
      <c r="E62" s="46" t="s">
        <v>354</v>
      </c>
      <c r="F62" s="50" t="s">
        <v>378</v>
      </c>
      <c r="G62" s="48" t="s">
        <v>311</v>
      </c>
      <c r="H62" s="48" t="s">
        <v>39</v>
      </c>
      <c r="I62" s="48"/>
      <c r="J62" s="87" t="s">
        <v>704</v>
      </c>
      <c r="K62" s="48" t="s">
        <v>623</v>
      </c>
      <c r="L62" s="48" t="s">
        <v>616</v>
      </c>
      <c r="M62" s="56"/>
      <c r="N62" s="56"/>
      <c r="O62" s="48" t="s">
        <v>381</v>
      </c>
      <c r="P62" s="52"/>
      <c r="Q62" s="52"/>
      <c r="R62" s="48"/>
      <c r="S62" s="53"/>
      <c r="T62" s="53"/>
      <c r="U62" s="54">
        <v>0.90300000000000002</v>
      </c>
      <c r="V62" s="53"/>
      <c r="W62" s="53"/>
      <c r="X62" s="180">
        <v>0.41</v>
      </c>
      <c r="Y62" s="53"/>
      <c r="Z62" s="53"/>
      <c r="AA62" s="180">
        <v>1.56</v>
      </c>
      <c r="AB62" s="180">
        <v>1.29</v>
      </c>
      <c r="AC62" s="101"/>
      <c r="AD62" s="38">
        <f t="shared" si="0"/>
        <v>3</v>
      </c>
      <c r="AE62" s="102"/>
      <c r="AF62" s="102"/>
    </row>
    <row r="63" spans="1:32" s="38" customFormat="1" ht="15" customHeight="1">
      <c r="A63" s="47">
        <v>173</v>
      </c>
      <c r="B63" s="48" t="s">
        <v>302</v>
      </c>
      <c r="C63" s="48">
        <v>2011</v>
      </c>
      <c r="D63" s="74" t="s">
        <v>352</v>
      </c>
      <c r="E63" s="46" t="s">
        <v>354</v>
      </c>
      <c r="F63" s="50" t="s">
        <v>366</v>
      </c>
      <c r="G63" s="48" t="s">
        <v>258</v>
      </c>
      <c r="H63" s="48" t="s">
        <v>20</v>
      </c>
      <c r="I63" s="48"/>
      <c r="J63" s="87" t="s">
        <v>703</v>
      </c>
      <c r="K63" s="48" t="s">
        <v>621</v>
      </c>
      <c r="L63" s="48" t="s">
        <v>367</v>
      </c>
      <c r="M63" s="56"/>
      <c r="N63" s="56"/>
      <c r="O63" s="48" t="s">
        <v>368</v>
      </c>
      <c r="P63" s="52"/>
      <c r="Q63" s="52"/>
      <c r="R63" s="48"/>
      <c r="S63" s="53"/>
      <c r="T63" s="53"/>
      <c r="U63" s="54">
        <v>0.94499999999999995</v>
      </c>
      <c r="V63" s="53"/>
      <c r="W63" s="53"/>
      <c r="X63" s="180">
        <v>0.91</v>
      </c>
      <c r="Y63" s="53"/>
      <c r="Z63" s="53"/>
      <c r="AA63" s="180">
        <v>2.3199999999999998</v>
      </c>
      <c r="AB63" s="180">
        <v>2.2999999999999998</v>
      </c>
      <c r="AC63" s="101"/>
      <c r="AD63" s="38">
        <f t="shared" si="0"/>
        <v>3</v>
      </c>
      <c r="AE63" s="102"/>
      <c r="AF63" s="102"/>
    </row>
    <row r="64" spans="1:32" s="38" customFormat="1" ht="15" customHeight="1">
      <c r="A64" s="47">
        <v>173</v>
      </c>
      <c r="B64" s="48" t="s">
        <v>302</v>
      </c>
      <c r="C64" s="48">
        <v>2011</v>
      </c>
      <c r="D64" s="74" t="s">
        <v>352</v>
      </c>
      <c r="E64" s="46" t="s">
        <v>354</v>
      </c>
      <c r="F64" s="50" t="s">
        <v>369</v>
      </c>
      <c r="G64" s="48" t="s">
        <v>370</v>
      </c>
      <c r="H64" s="48" t="s">
        <v>39</v>
      </c>
      <c r="I64" s="48"/>
      <c r="J64" s="87" t="s">
        <v>706</v>
      </c>
      <c r="K64" s="48" t="s">
        <v>728</v>
      </c>
      <c r="L64" s="48" t="s">
        <v>768</v>
      </c>
      <c r="M64" s="56"/>
      <c r="N64" s="56"/>
      <c r="O64" s="48" t="s">
        <v>372</v>
      </c>
      <c r="P64" s="52"/>
      <c r="Q64" s="52"/>
      <c r="R64" s="48"/>
      <c r="S64" s="53"/>
      <c r="T64" s="53"/>
      <c r="U64" s="54">
        <v>0.91300000000000003</v>
      </c>
      <c r="V64" s="53"/>
      <c r="W64" s="53"/>
      <c r="X64" s="180">
        <v>0.41</v>
      </c>
      <c r="Y64" s="53"/>
      <c r="Z64" s="53"/>
      <c r="AA64" s="180">
        <v>2.69</v>
      </c>
      <c r="AB64" s="180">
        <v>2.0299999999999998</v>
      </c>
      <c r="AC64" s="101"/>
      <c r="AD64" s="38">
        <f t="shared" si="0"/>
        <v>3</v>
      </c>
      <c r="AE64" s="102"/>
      <c r="AF64" s="102"/>
    </row>
    <row r="65" spans="1:32" s="38" customFormat="1" ht="15" customHeight="1">
      <c r="A65" s="47">
        <v>174</v>
      </c>
      <c r="B65" s="48" t="s">
        <v>407</v>
      </c>
      <c r="C65" s="48">
        <v>2009</v>
      </c>
      <c r="D65" s="74" t="s">
        <v>408</v>
      </c>
      <c r="E65" s="46" t="s">
        <v>16</v>
      </c>
      <c r="F65" s="50" t="s">
        <v>410</v>
      </c>
      <c r="G65" s="48" t="s">
        <v>435</v>
      </c>
      <c r="H65" s="48" t="s">
        <v>116</v>
      </c>
      <c r="I65" s="48"/>
      <c r="J65" s="87" t="s">
        <v>750</v>
      </c>
      <c r="K65" s="48" t="s">
        <v>600</v>
      </c>
      <c r="L65" s="48" t="s">
        <v>436</v>
      </c>
      <c r="M65" s="56"/>
      <c r="N65" s="56"/>
      <c r="O65" s="48" t="s">
        <v>436</v>
      </c>
      <c r="P65" s="52"/>
      <c r="Q65" s="52"/>
      <c r="R65" s="48"/>
      <c r="S65" s="53"/>
      <c r="T65" s="53"/>
      <c r="U65" s="54">
        <v>0.86699999999999999</v>
      </c>
      <c r="V65" s="53"/>
      <c r="W65" s="53"/>
      <c r="X65" s="185">
        <v>2</v>
      </c>
      <c r="Y65" s="53"/>
      <c r="Z65" s="53"/>
      <c r="AA65" s="185">
        <v>1</v>
      </c>
      <c r="AB65" s="180"/>
      <c r="AC65" s="101"/>
      <c r="AD65" s="38">
        <f t="shared" si="0"/>
        <v>2</v>
      </c>
      <c r="AE65" s="102"/>
      <c r="AF65" s="102"/>
    </row>
    <row r="66" spans="1:32" s="38" customFormat="1" ht="15" customHeight="1">
      <c r="A66" s="47">
        <v>174</v>
      </c>
      <c r="B66" s="48" t="s">
        <v>407</v>
      </c>
      <c r="C66" s="48">
        <v>2009</v>
      </c>
      <c r="D66" s="74" t="s">
        <v>408</v>
      </c>
      <c r="E66" s="46" t="s">
        <v>16</v>
      </c>
      <c r="F66" s="50" t="s">
        <v>410</v>
      </c>
      <c r="G66" s="48" t="s">
        <v>415</v>
      </c>
      <c r="H66" s="48" t="s">
        <v>22</v>
      </c>
      <c r="I66" s="48"/>
      <c r="J66" s="87" t="s">
        <v>591</v>
      </c>
      <c r="K66" s="48" t="s">
        <v>637</v>
      </c>
      <c r="L66" s="48" t="s">
        <v>416</v>
      </c>
      <c r="M66" s="56"/>
      <c r="N66" s="56"/>
      <c r="O66" s="48" t="s">
        <v>416</v>
      </c>
      <c r="P66" s="52"/>
      <c r="Q66" s="52"/>
      <c r="R66" s="48"/>
      <c r="S66" s="53"/>
      <c r="T66" s="53"/>
      <c r="U66" s="54">
        <v>0.89100000000000001</v>
      </c>
      <c r="V66" s="53"/>
      <c r="W66" s="53"/>
      <c r="X66" s="185">
        <v>3.8</v>
      </c>
      <c r="Y66" s="53"/>
      <c r="Z66" s="53"/>
      <c r="AA66" s="185"/>
      <c r="AB66" s="180"/>
      <c r="AC66" s="101"/>
      <c r="AD66" s="38">
        <f t="shared" si="0"/>
        <v>1</v>
      </c>
      <c r="AE66" s="102"/>
      <c r="AF66" s="102"/>
    </row>
    <row r="67" spans="1:32" s="38" customFormat="1" ht="15" customHeight="1">
      <c r="A67" s="47">
        <v>174</v>
      </c>
      <c r="B67" s="48" t="s">
        <v>407</v>
      </c>
      <c r="C67" s="48">
        <v>2009</v>
      </c>
      <c r="D67" s="74" t="s">
        <v>408</v>
      </c>
      <c r="E67" s="46" t="s">
        <v>16</v>
      </c>
      <c r="F67" s="50" t="s">
        <v>410</v>
      </c>
      <c r="G67" s="48" t="s">
        <v>115</v>
      </c>
      <c r="H67" s="48" t="s">
        <v>116</v>
      </c>
      <c r="I67" s="48"/>
      <c r="J67" s="87" t="s">
        <v>710</v>
      </c>
      <c r="K67" s="48" t="s">
        <v>676</v>
      </c>
      <c r="L67" s="48" t="s">
        <v>446</v>
      </c>
      <c r="M67" s="56"/>
      <c r="N67" s="56"/>
      <c r="O67" s="48" t="s">
        <v>446</v>
      </c>
      <c r="P67" s="52"/>
      <c r="Q67" s="52"/>
      <c r="R67" s="48"/>
      <c r="S67" s="53"/>
      <c r="T67" s="53"/>
      <c r="U67" s="54">
        <v>0.95699999999999996</v>
      </c>
      <c r="V67" s="53"/>
      <c r="W67" s="53"/>
      <c r="X67" s="185">
        <v>3.9</v>
      </c>
      <c r="Y67" s="53"/>
      <c r="Z67" s="53"/>
      <c r="AA67" s="185">
        <v>3.2</v>
      </c>
      <c r="AB67" s="180"/>
      <c r="AC67" s="101"/>
      <c r="AD67" s="38">
        <f t="shared" ref="AD67:AD130" si="1">COUNT(X67,AA67,AB67)</f>
        <v>2</v>
      </c>
      <c r="AE67" s="102"/>
      <c r="AF67" s="102"/>
    </row>
    <row r="68" spans="1:32" s="38" customFormat="1" ht="15" customHeight="1">
      <c r="A68" s="47">
        <v>174</v>
      </c>
      <c r="B68" s="48" t="s">
        <v>407</v>
      </c>
      <c r="C68" s="48">
        <v>2009</v>
      </c>
      <c r="D68" s="74" t="s">
        <v>408</v>
      </c>
      <c r="E68" s="46" t="s">
        <v>16</v>
      </c>
      <c r="F68" s="50" t="s">
        <v>410</v>
      </c>
      <c r="G68" s="48" t="s">
        <v>435</v>
      </c>
      <c r="H68" s="48" t="s">
        <v>116</v>
      </c>
      <c r="I68" s="48"/>
      <c r="J68" s="87" t="s">
        <v>750</v>
      </c>
      <c r="K68" s="48" t="s">
        <v>675</v>
      </c>
      <c r="L68" s="48" t="s">
        <v>437</v>
      </c>
      <c r="M68" s="56"/>
      <c r="N68" s="56"/>
      <c r="O68" s="48" t="s">
        <v>438</v>
      </c>
      <c r="P68" s="52"/>
      <c r="Q68" s="52"/>
      <c r="R68" s="48"/>
      <c r="S68" s="53"/>
      <c r="T68" s="53"/>
      <c r="U68" s="54">
        <v>0.91700000000000004</v>
      </c>
      <c r="V68" s="53"/>
      <c r="W68" s="53"/>
      <c r="X68" s="185">
        <v>3.3</v>
      </c>
      <c r="Y68" s="53"/>
      <c r="Z68" s="53"/>
      <c r="AA68" s="185">
        <v>1.6</v>
      </c>
      <c r="AB68" s="180"/>
      <c r="AC68" s="101"/>
      <c r="AD68" s="38">
        <f t="shared" si="1"/>
        <v>2</v>
      </c>
      <c r="AE68" s="102"/>
      <c r="AF68" s="102"/>
    </row>
    <row r="69" spans="1:32" s="38" customFormat="1" ht="15" customHeight="1">
      <c r="A69" s="47">
        <v>174</v>
      </c>
      <c r="B69" s="48" t="s">
        <v>407</v>
      </c>
      <c r="C69" s="48">
        <v>2009</v>
      </c>
      <c r="D69" s="74" t="s">
        <v>408</v>
      </c>
      <c r="E69" s="46" t="s">
        <v>16</v>
      </c>
      <c r="F69" s="50" t="s">
        <v>410</v>
      </c>
      <c r="G69" s="48" t="s">
        <v>427</v>
      </c>
      <c r="H69" s="48" t="s">
        <v>39</v>
      </c>
      <c r="I69" s="48"/>
      <c r="J69" s="87" t="s">
        <v>704</v>
      </c>
      <c r="K69" s="48" t="s">
        <v>614</v>
      </c>
      <c r="L69" s="48" t="s">
        <v>92</v>
      </c>
      <c r="M69" s="56"/>
      <c r="N69" s="56"/>
      <c r="O69" s="48" t="s">
        <v>92</v>
      </c>
      <c r="P69" s="52"/>
      <c r="Q69" s="52"/>
      <c r="R69" s="48"/>
      <c r="S69" s="53"/>
      <c r="T69" s="53"/>
      <c r="U69" s="54">
        <v>0.91400000000000003</v>
      </c>
      <c r="V69" s="53"/>
      <c r="W69" s="53"/>
      <c r="X69" s="185">
        <v>1.7</v>
      </c>
      <c r="Y69" s="53"/>
      <c r="Z69" s="53"/>
      <c r="AA69" s="185">
        <v>0.4</v>
      </c>
      <c r="AB69" s="180"/>
      <c r="AC69" s="101"/>
      <c r="AD69" s="38">
        <f t="shared" si="1"/>
        <v>2</v>
      </c>
      <c r="AE69" s="102"/>
      <c r="AF69" s="102"/>
    </row>
    <row r="70" spans="1:32" s="38" customFormat="1" ht="15" customHeight="1">
      <c r="A70" s="47">
        <v>174</v>
      </c>
      <c r="B70" s="48" t="s">
        <v>407</v>
      </c>
      <c r="C70" s="48">
        <v>2009</v>
      </c>
      <c r="D70" s="74" t="s">
        <v>408</v>
      </c>
      <c r="E70" s="46" t="s">
        <v>16</v>
      </c>
      <c r="F70" s="50" t="s">
        <v>410</v>
      </c>
      <c r="G70" s="48" t="s">
        <v>427</v>
      </c>
      <c r="H70" s="48" t="s">
        <v>39</v>
      </c>
      <c r="I70" s="48"/>
      <c r="J70" s="87" t="s">
        <v>704</v>
      </c>
      <c r="K70" s="48" t="s">
        <v>612</v>
      </c>
      <c r="L70" s="48" t="s">
        <v>444</v>
      </c>
      <c r="M70" s="56"/>
      <c r="N70" s="56"/>
      <c r="O70" s="48" t="s">
        <v>51</v>
      </c>
      <c r="P70" s="52"/>
      <c r="Q70" s="52"/>
      <c r="R70" s="48"/>
      <c r="S70" s="53"/>
      <c r="T70" s="53"/>
      <c r="U70" s="54">
        <v>0.90900000000000003</v>
      </c>
      <c r="V70" s="53"/>
      <c r="W70" s="53"/>
      <c r="X70" s="185">
        <v>1.7</v>
      </c>
      <c r="Y70" s="53"/>
      <c r="Z70" s="53"/>
      <c r="AA70" s="185">
        <v>0.5</v>
      </c>
      <c r="AB70" s="180"/>
      <c r="AC70" s="101"/>
      <c r="AD70" s="38">
        <f t="shared" si="1"/>
        <v>2</v>
      </c>
      <c r="AE70" s="102"/>
      <c r="AF70" s="102"/>
    </row>
    <row r="71" spans="1:32" s="38" customFormat="1">
      <c r="A71" s="47">
        <v>174</v>
      </c>
      <c r="B71" s="48" t="s">
        <v>407</v>
      </c>
      <c r="C71" s="48">
        <v>2009</v>
      </c>
      <c r="D71" s="74" t="s">
        <v>408</v>
      </c>
      <c r="E71" s="46" t="s">
        <v>16</v>
      </c>
      <c r="F71" s="50" t="s">
        <v>410</v>
      </c>
      <c r="G71" s="48"/>
      <c r="H71" s="48"/>
      <c r="I71" s="48"/>
      <c r="J71" s="87" t="s">
        <v>703</v>
      </c>
      <c r="K71" s="48" t="s">
        <v>645</v>
      </c>
      <c r="L71" s="48" t="s">
        <v>428</v>
      </c>
      <c r="M71" s="56"/>
      <c r="N71" s="56"/>
      <c r="O71" s="48" t="s">
        <v>429</v>
      </c>
      <c r="P71" s="52"/>
      <c r="Q71" s="52"/>
      <c r="R71" s="48"/>
      <c r="S71" s="53"/>
      <c r="T71" s="53"/>
      <c r="U71" s="54">
        <v>0.93</v>
      </c>
      <c r="V71" s="53"/>
      <c r="W71" s="53"/>
      <c r="X71" s="185">
        <v>4.5</v>
      </c>
      <c r="Y71" s="53"/>
      <c r="Z71" s="53"/>
      <c r="AA71" s="185">
        <v>0.7</v>
      </c>
      <c r="AB71" s="180"/>
      <c r="AC71" s="101"/>
      <c r="AD71" s="38">
        <f t="shared" si="1"/>
        <v>2</v>
      </c>
      <c r="AE71" s="102"/>
      <c r="AF71" s="102"/>
    </row>
    <row r="72" spans="1:32" s="38" customFormat="1">
      <c r="A72" s="47">
        <v>174</v>
      </c>
      <c r="B72" s="48" t="s">
        <v>407</v>
      </c>
      <c r="C72" s="48">
        <v>2009</v>
      </c>
      <c r="D72" s="74" t="s">
        <v>408</v>
      </c>
      <c r="E72" s="46" t="s">
        <v>16</v>
      </c>
      <c r="F72" s="50" t="s">
        <v>410</v>
      </c>
      <c r="G72" s="48" t="s">
        <v>419</v>
      </c>
      <c r="H72" s="48" t="s">
        <v>21</v>
      </c>
      <c r="I72" s="48"/>
      <c r="J72" s="87" t="s">
        <v>591</v>
      </c>
      <c r="K72" s="48" t="s">
        <v>640</v>
      </c>
      <c r="L72" s="48" t="s">
        <v>420</v>
      </c>
      <c r="M72" s="56"/>
      <c r="N72" s="56"/>
      <c r="O72" s="48" t="s">
        <v>420</v>
      </c>
      <c r="P72" s="52"/>
      <c r="Q72" s="52"/>
      <c r="R72" s="48"/>
      <c r="S72" s="53"/>
      <c r="T72" s="53"/>
      <c r="U72" s="54">
        <v>0.95699999999999996</v>
      </c>
      <c r="V72" s="53"/>
      <c r="W72" s="53"/>
      <c r="X72" s="185">
        <v>8.1</v>
      </c>
      <c r="Y72" s="53"/>
      <c r="Z72" s="53"/>
      <c r="AA72" s="185"/>
      <c r="AB72" s="180"/>
      <c r="AC72" s="101"/>
      <c r="AD72" s="38">
        <f t="shared" si="1"/>
        <v>1</v>
      </c>
      <c r="AE72" s="102"/>
      <c r="AF72" s="102"/>
    </row>
    <row r="73" spans="1:32" s="38" customFormat="1">
      <c r="A73" s="47">
        <v>174</v>
      </c>
      <c r="B73" s="48" t="s">
        <v>407</v>
      </c>
      <c r="C73" s="48">
        <v>2009</v>
      </c>
      <c r="D73" s="74" t="s">
        <v>408</v>
      </c>
      <c r="E73" s="46" t="s">
        <v>16</v>
      </c>
      <c r="F73" s="50" t="s">
        <v>410</v>
      </c>
      <c r="G73" s="48" t="s">
        <v>414</v>
      </c>
      <c r="H73" s="48" t="s">
        <v>49</v>
      </c>
      <c r="I73" s="48"/>
      <c r="J73" s="87" t="s">
        <v>706</v>
      </c>
      <c r="K73" s="48" t="s">
        <v>663</v>
      </c>
      <c r="L73" s="48" t="s">
        <v>254</v>
      </c>
      <c r="M73" s="56"/>
      <c r="N73" s="56"/>
      <c r="O73" s="48" t="s">
        <v>254</v>
      </c>
      <c r="P73" s="52"/>
      <c r="Q73" s="52"/>
      <c r="R73" s="48"/>
      <c r="S73" s="53"/>
      <c r="T73" s="53"/>
      <c r="U73" s="54">
        <v>0.90600000000000003</v>
      </c>
      <c r="V73" s="53"/>
      <c r="W73" s="53"/>
      <c r="X73" s="185">
        <v>3.8</v>
      </c>
      <c r="Y73" s="53"/>
      <c r="Z73" s="53"/>
      <c r="AA73" s="185">
        <v>2.1</v>
      </c>
      <c r="AB73" s="180"/>
      <c r="AC73" s="101"/>
      <c r="AD73" s="38">
        <f t="shared" si="1"/>
        <v>2</v>
      </c>
      <c r="AE73" s="102"/>
      <c r="AF73" s="102"/>
    </row>
    <row r="74" spans="1:32" s="38" customFormat="1">
      <c r="A74" s="47">
        <v>174</v>
      </c>
      <c r="B74" s="48" t="s">
        <v>407</v>
      </c>
      <c r="C74" s="48">
        <v>2009</v>
      </c>
      <c r="D74" s="74" t="s">
        <v>408</v>
      </c>
      <c r="E74" s="46" t="s">
        <v>16</v>
      </c>
      <c r="F74" s="50" t="s">
        <v>410</v>
      </c>
      <c r="G74" s="48" t="s">
        <v>417</v>
      </c>
      <c r="H74" s="48" t="s">
        <v>417</v>
      </c>
      <c r="I74" s="48"/>
      <c r="J74" s="87" t="s">
        <v>593</v>
      </c>
      <c r="K74" s="48" t="s">
        <v>633</v>
      </c>
      <c r="L74" s="48" t="s">
        <v>430</v>
      </c>
      <c r="M74" s="56"/>
      <c r="N74" s="56"/>
      <c r="O74" s="48" t="s">
        <v>430</v>
      </c>
      <c r="P74" s="52"/>
      <c r="Q74" s="52"/>
      <c r="R74" s="48"/>
      <c r="S74" s="53"/>
      <c r="T74" s="53"/>
      <c r="U74" s="54">
        <v>0.94699999999999995</v>
      </c>
      <c r="V74" s="53"/>
      <c r="W74" s="53"/>
      <c r="X74" s="185">
        <v>7.3</v>
      </c>
      <c r="Y74" s="53"/>
      <c r="Z74" s="53"/>
      <c r="AA74" s="185"/>
      <c r="AB74" s="180"/>
      <c r="AC74" s="101"/>
      <c r="AD74" s="38">
        <f t="shared" si="1"/>
        <v>1</v>
      </c>
      <c r="AE74" s="102"/>
      <c r="AF74" s="102"/>
    </row>
    <row r="75" spans="1:32" s="38" customFormat="1" ht="15" customHeight="1">
      <c r="A75" s="47">
        <v>174</v>
      </c>
      <c r="B75" s="48" t="s">
        <v>407</v>
      </c>
      <c r="C75" s="48">
        <v>2009</v>
      </c>
      <c r="D75" s="74" t="s">
        <v>408</v>
      </c>
      <c r="E75" s="46" t="s">
        <v>16</v>
      </c>
      <c r="F75" s="50" t="s">
        <v>410</v>
      </c>
      <c r="G75" s="48" t="s">
        <v>454</v>
      </c>
      <c r="H75" s="48" t="s">
        <v>455</v>
      </c>
      <c r="I75" s="48"/>
      <c r="J75" s="87" t="s">
        <v>704</v>
      </c>
      <c r="K75" s="48" t="s">
        <v>664</v>
      </c>
      <c r="L75" s="48" t="s">
        <v>462</v>
      </c>
      <c r="M75" s="56"/>
      <c r="N75" s="56"/>
      <c r="O75" s="48" t="s">
        <v>463</v>
      </c>
      <c r="P75" s="52"/>
      <c r="Q75" s="52"/>
      <c r="R75" s="48"/>
      <c r="S75" s="53"/>
      <c r="T75" s="53"/>
      <c r="U75" s="54">
        <v>0.93500000000000005</v>
      </c>
      <c r="V75" s="53"/>
      <c r="W75" s="53"/>
      <c r="X75" s="185">
        <v>1.4</v>
      </c>
      <c r="Y75" s="53"/>
      <c r="Z75" s="53"/>
      <c r="AA75" s="185">
        <v>0.5</v>
      </c>
      <c r="AB75" s="180"/>
      <c r="AC75" s="101"/>
      <c r="AD75" s="38">
        <f t="shared" si="1"/>
        <v>2</v>
      </c>
      <c r="AE75" s="102"/>
      <c r="AF75" s="102"/>
    </row>
    <row r="76" spans="1:32" s="38" customFormat="1" ht="15" customHeight="1">
      <c r="A76" s="47">
        <v>174</v>
      </c>
      <c r="B76" s="48" t="s">
        <v>407</v>
      </c>
      <c r="C76" s="48">
        <v>2009</v>
      </c>
      <c r="D76" s="74" t="s">
        <v>408</v>
      </c>
      <c r="E76" s="46" t="s">
        <v>16</v>
      </c>
      <c r="F76" s="50" t="s">
        <v>410</v>
      </c>
      <c r="G76" s="48" t="s">
        <v>427</v>
      </c>
      <c r="H76" s="48" t="s">
        <v>39</v>
      </c>
      <c r="I76" s="48"/>
      <c r="J76" s="87" t="s">
        <v>704</v>
      </c>
      <c r="K76" s="48" t="s">
        <v>613</v>
      </c>
      <c r="L76" s="48" t="s">
        <v>449</v>
      </c>
      <c r="M76" s="56"/>
      <c r="N76" s="56"/>
      <c r="O76" s="48" t="s">
        <v>91</v>
      </c>
      <c r="P76" s="52"/>
      <c r="Q76" s="52"/>
      <c r="R76" s="48"/>
      <c r="S76" s="53"/>
      <c r="T76" s="53"/>
      <c r="U76" s="54">
        <v>0.91300000000000003</v>
      </c>
      <c r="V76" s="53"/>
      <c r="W76" s="53"/>
      <c r="X76" s="185">
        <v>4.3</v>
      </c>
      <c r="Y76" s="53"/>
      <c r="Z76" s="53"/>
      <c r="AA76" s="185">
        <v>1.1000000000000001</v>
      </c>
      <c r="AB76" s="180"/>
      <c r="AC76" s="101"/>
      <c r="AD76" s="38">
        <f t="shared" si="1"/>
        <v>2</v>
      </c>
      <c r="AE76" s="102"/>
      <c r="AF76" s="102"/>
    </row>
    <row r="77" spans="1:32" s="38" customFormat="1" ht="15" customHeight="1">
      <c r="A77" s="47">
        <v>174</v>
      </c>
      <c r="B77" s="48" t="s">
        <v>407</v>
      </c>
      <c r="C77" s="48">
        <v>2009</v>
      </c>
      <c r="D77" s="74" t="s">
        <v>408</v>
      </c>
      <c r="E77" s="46" t="s">
        <v>16</v>
      </c>
      <c r="F77" s="50" t="s">
        <v>410</v>
      </c>
      <c r="G77" s="48" t="s">
        <v>411</v>
      </c>
      <c r="H77" s="48" t="s">
        <v>18</v>
      </c>
      <c r="I77" s="48"/>
      <c r="J77" s="87" t="s">
        <v>593</v>
      </c>
      <c r="K77" s="48" t="s">
        <v>733</v>
      </c>
      <c r="L77" s="48" t="s">
        <v>412</v>
      </c>
      <c r="M77" s="56"/>
      <c r="N77" s="56"/>
      <c r="O77" s="48" t="s">
        <v>412</v>
      </c>
      <c r="P77" s="52"/>
      <c r="Q77" s="52"/>
      <c r="R77" s="48"/>
      <c r="S77" s="53"/>
      <c r="T77" s="53"/>
      <c r="U77" s="54">
        <v>0.85699999999999998</v>
      </c>
      <c r="V77" s="53"/>
      <c r="W77" s="53"/>
      <c r="X77" s="185">
        <v>6.5</v>
      </c>
      <c r="Y77" s="53"/>
      <c r="Z77" s="53"/>
      <c r="AA77" s="185"/>
      <c r="AB77" s="180"/>
      <c r="AC77" s="101"/>
      <c r="AD77" s="38">
        <f t="shared" si="1"/>
        <v>1</v>
      </c>
      <c r="AE77" s="102"/>
      <c r="AF77" s="102"/>
    </row>
    <row r="78" spans="1:32" s="38" customFormat="1" ht="15" customHeight="1">
      <c r="A78" s="47">
        <v>174</v>
      </c>
      <c r="B78" s="48" t="s">
        <v>407</v>
      </c>
      <c r="C78" s="48">
        <v>2009</v>
      </c>
      <c r="D78" s="74" t="s">
        <v>408</v>
      </c>
      <c r="E78" s="46" t="s">
        <v>16</v>
      </c>
      <c r="F78" s="50" t="s">
        <v>410</v>
      </c>
      <c r="G78" s="48" t="s">
        <v>414</v>
      </c>
      <c r="H78" s="48" t="s">
        <v>49</v>
      </c>
      <c r="I78" s="48"/>
      <c r="J78" s="87" t="s">
        <v>706</v>
      </c>
      <c r="K78" s="48" t="s">
        <v>661</v>
      </c>
      <c r="L78" s="48" t="s">
        <v>434</v>
      </c>
      <c r="M78" s="56"/>
      <c r="N78" s="56"/>
      <c r="O78" s="48" t="s">
        <v>434</v>
      </c>
      <c r="P78" s="52"/>
      <c r="Q78" s="52"/>
      <c r="R78" s="48"/>
      <c r="S78" s="53"/>
      <c r="T78" s="53"/>
      <c r="U78" s="54">
        <v>0.92</v>
      </c>
      <c r="V78" s="53"/>
      <c r="W78" s="53"/>
      <c r="X78" s="185">
        <v>0.4</v>
      </c>
      <c r="Y78" s="53"/>
      <c r="Z78" s="53"/>
      <c r="AA78" s="185">
        <v>0.4</v>
      </c>
      <c r="AB78" s="180"/>
      <c r="AC78" s="101"/>
      <c r="AD78" s="38">
        <f t="shared" si="1"/>
        <v>2</v>
      </c>
      <c r="AE78" s="102"/>
      <c r="AF78" s="102"/>
    </row>
    <row r="79" spans="1:32" s="38" customFormat="1" ht="15" customHeight="1">
      <c r="A79" s="47">
        <v>174</v>
      </c>
      <c r="B79" s="48" t="s">
        <v>407</v>
      </c>
      <c r="C79" s="48">
        <v>2009</v>
      </c>
      <c r="D79" s="74" t="s">
        <v>408</v>
      </c>
      <c r="E79" s="46" t="s">
        <v>16</v>
      </c>
      <c r="F79" s="50" t="s">
        <v>410</v>
      </c>
      <c r="G79" s="48" t="s">
        <v>417</v>
      </c>
      <c r="H79" s="48" t="s">
        <v>417</v>
      </c>
      <c r="I79" s="48"/>
      <c r="J79" s="87" t="s">
        <v>703</v>
      </c>
      <c r="K79" s="48" t="s">
        <v>610</v>
      </c>
      <c r="L79" s="48" t="s">
        <v>418</v>
      </c>
      <c r="M79" s="56"/>
      <c r="N79" s="56"/>
      <c r="O79" s="48" t="s">
        <v>418</v>
      </c>
      <c r="P79" s="52"/>
      <c r="Q79" s="52"/>
      <c r="R79" s="48"/>
      <c r="S79" s="53"/>
      <c r="T79" s="53"/>
      <c r="U79" s="54">
        <v>0.94399999999999995</v>
      </c>
      <c r="V79" s="53"/>
      <c r="W79" s="53"/>
      <c r="X79" s="185">
        <v>3.2</v>
      </c>
      <c r="Y79" s="53"/>
      <c r="Z79" s="53"/>
      <c r="AA79" s="185">
        <v>1.3</v>
      </c>
      <c r="AB79" s="180"/>
      <c r="AC79" s="101"/>
      <c r="AD79" s="38">
        <f t="shared" si="1"/>
        <v>2</v>
      </c>
      <c r="AE79" s="102"/>
      <c r="AF79" s="102"/>
    </row>
    <row r="80" spans="1:32" s="38" customFormat="1" ht="15" customHeight="1">
      <c r="A80" s="47">
        <v>174</v>
      </c>
      <c r="B80" s="48" t="s">
        <v>407</v>
      </c>
      <c r="C80" s="48">
        <v>2009</v>
      </c>
      <c r="D80" s="74" t="s">
        <v>408</v>
      </c>
      <c r="E80" s="46" t="s">
        <v>16</v>
      </c>
      <c r="F80" s="50" t="s">
        <v>410</v>
      </c>
      <c r="G80" s="48" t="s">
        <v>427</v>
      </c>
      <c r="H80" s="48" t="s">
        <v>39</v>
      </c>
      <c r="I80" s="48"/>
      <c r="J80" s="87" t="s">
        <v>704</v>
      </c>
      <c r="K80" s="48" t="s">
        <v>611</v>
      </c>
      <c r="L80" s="48" t="s">
        <v>94</v>
      </c>
      <c r="M80" s="56"/>
      <c r="N80" s="56"/>
      <c r="O80" s="48" t="s">
        <v>94</v>
      </c>
      <c r="P80" s="52"/>
      <c r="Q80" s="52"/>
      <c r="R80" s="48"/>
      <c r="S80" s="53"/>
      <c r="T80" s="53"/>
      <c r="U80" s="54">
        <v>0.89900000000000002</v>
      </c>
      <c r="V80" s="53"/>
      <c r="W80" s="53"/>
      <c r="X80" s="185">
        <v>1.3</v>
      </c>
      <c r="Y80" s="53"/>
      <c r="Z80" s="53"/>
      <c r="AA80" s="185">
        <v>0.5</v>
      </c>
      <c r="AB80" s="180"/>
      <c r="AC80" s="101"/>
      <c r="AD80" s="38">
        <f t="shared" si="1"/>
        <v>2</v>
      </c>
      <c r="AE80" s="102"/>
      <c r="AF80" s="102"/>
    </row>
    <row r="81" spans="1:32" s="38" customFormat="1" ht="15" customHeight="1">
      <c r="A81" s="47">
        <v>174</v>
      </c>
      <c r="B81" s="48" t="s">
        <v>407</v>
      </c>
      <c r="C81" s="48">
        <v>2009</v>
      </c>
      <c r="D81" s="74" t="s">
        <v>408</v>
      </c>
      <c r="E81" s="46" t="s">
        <v>16</v>
      </c>
      <c r="F81" s="50" t="s">
        <v>410</v>
      </c>
      <c r="G81" s="48" t="s">
        <v>414</v>
      </c>
      <c r="H81" s="48" t="s">
        <v>49</v>
      </c>
      <c r="I81" s="48"/>
      <c r="J81" s="87" t="s">
        <v>706</v>
      </c>
      <c r="K81" s="48" t="s">
        <v>661</v>
      </c>
      <c r="L81" s="48" t="s">
        <v>421</v>
      </c>
      <c r="M81" s="56"/>
      <c r="N81" s="56"/>
      <c r="O81" s="48" t="s">
        <v>422</v>
      </c>
      <c r="P81" s="52"/>
      <c r="Q81" s="52"/>
      <c r="R81" s="48"/>
      <c r="S81" s="53"/>
      <c r="T81" s="53"/>
      <c r="U81" s="54">
        <v>0.91500000000000004</v>
      </c>
      <c r="V81" s="53"/>
      <c r="W81" s="53"/>
      <c r="X81" s="185">
        <v>1.5</v>
      </c>
      <c r="Y81" s="53"/>
      <c r="Z81" s="53"/>
      <c r="AA81" s="185">
        <v>0.7</v>
      </c>
      <c r="AB81" s="180"/>
      <c r="AC81" s="101"/>
      <c r="AD81" s="38">
        <f t="shared" si="1"/>
        <v>2</v>
      </c>
      <c r="AE81" s="102"/>
      <c r="AF81" s="102"/>
    </row>
    <row r="82" spans="1:32" s="38" customFormat="1" ht="15" customHeight="1">
      <c r="A82" s="47">
        <v>174</v>
      </c>
      <c r="B82" s="48" t="s">
        <v>407</v>
      </c>
      <c r="C82" s="48">
        <v>2009</v>
      </c>
      <c r="D82" s="74" t="s">
        <v>408</v>
      </c>
      <c r="E82" s="46" t="s">
        <v>16</v>
      </c>
      <c r="F82" s="50" t="s">
        <v>410</v>
      </c>
      <c r="G82" s="48"/>
      <c r="H82" s="48"/>
      <c r="I82" s="48"/>
      <c r="J82" s="87" t="s">
        <v>604</v>
      </c>
      <c r="K82" s="48" t="s">
        <v>646</v>
      </c>
      <c r="L82" s="48" t="s">
        <v>433</v>
      </c>
      <c r="M82" s="56"/>
      <c r="N82" s="56"/>
      <c r="O82" s="48" t="s">
        <v>433</v>
      </c>
      <c r="P82" s="52"/>
      <c r="Q82" s="52"/>
      <c r="R82" s="48"/>
      <c r="S82" s="53"/>
      <c r="T82" s="53"/>
      <c r="U82" s="54">
        <v>0.94299999999999995</v>
      </c>
      <c r="V82" s="53"/>
      <c r="W82" s="53"/>
      <c r="X82" s="185">
        <v>9.6</v>
      </c>
      <c r="Y82" s="53"/>
      <c r="Z82" s="53"/>
      <c r="AA82" s="185"/>
      <c r="AB82" s="180"/>
      <c r="AC82" s="101"/>
      <c r="AD82" s="38">
        <f t="shared" si="1"/>
        <v>1</v>
      </c>
      <c r="AE82" s="102"/>
      <c r="AF82" s="102"/>
    </row>
    <row r="83" spans="1:32" s="38" customFormat="1" ht="15" customHeight="1">
      <c r="A83" s="47">
        <v>174</v>
      </c>
      <c r="B83" s="48" t="s">
        <v>407</v>
      </c>
      <c r="C83" s="48">
        <v>2009</v>
      </c>
      <c r="D83" s="74" t="s">
        <v>408</v>
      </c>
      <c r="E83" s="46" t="s">
        <v>16</v>
      </c>
      <c r="F83" s="50" t="s">
        <v>410</v>
      </c>
      <c r="G83" s="48"/>
      <c r="H83" s="48"/>
      <c r="I83" s="48"/>
      <c r="J83" s="87" t="s">
        <v>598</v>
      </c>
      <c r="K83" s="48" t="s">
        <v>643</v>
      </c>
      <c r="L83" s="48" t="s">
        <v>447</v>
      </c>
      <c r="M83" s="56"/>
      <c r="N83" s="56"/>
      <c r="O83" s="48" t="s">
        <v>448</v>
      </c>
      <c r="P83" s="52"/>
      <c r="Q83" s="52"/>
      <c r="R83" s="48"/>
      <c r="S83" s="53"/>
      <c r="T83" s="53"/>
      <c r="U83" s="54">
        <v>0.92200000000000004</v>
      </c>
      <c r="V83" s="53"/>
      <c r="W83" s="53"/>
      <c r="X83" s="185">
        <v>2.2000000000000002</v>
      </c>
      <c r="Y83" s="53"/>
      <c r="Z83" s="53"/>
      <c r="AA83" s="185">
        <v>0.5</v>
      </c>
      <c r="AB83" s="180"/>
      <c r="AC83" s="101"/>
      <c r="AD83" s="38">
        <f t="shared" si="1"/>
        <v>2</v>
      </c>
      <c r="AE83" s="102"/>
      <c r="AF83" s="102"/>
    </row>
    <row r="84" spans="1:32" s="38" customFormat="1" ht="15" customHeight="1">
      <c r="A84" s="47">
        <v>174</v>
      </c>
      <c r="B84" s="48" t="s">
        <v>407</v>
      </c>
      <c r="C84" s="48">
        <v>2009</v>
      </c>
      <c r="D84" s="74" t="s">
        <v>408</v>
      </c>
      <c r="E84" s="46" t="s">
        <v>16</v>
      </c>
      <c r="F84" s="50" t="s">
        <v>410</v>
      </c>
      <c r="G84" s="48" t="s">
        <v>22</v>
      </c>
      <c r="H84" s="48" t="s">
        <v>22</v>
      </c>
      <c r="I84" s="48"/>
      <c r="J84" s="87" t="s">
        <v>593</v>
      </c>
      <c r="K84" s="48" t="s">
        <v>635</v>
      </c>
      <c r="L84" s="48" t="s">
        <v>445</v>
      </c>
      <c r="M84" s="56"/>
      <c r="N84" s="56"/>
      <c r="O84" s="48" t="s">
        <v>445</v>
      </c>
      <c r="P84" s="52"/>
      <c r="Q84" s="52"/>
      <c r="R84" s="48"/>
      <c r="S84" s="53"/>
      <c r="T84" s="53"/>
      <c r="U84" s="54">
        <v>0.93300000000000005</v>
      </c>
      <c r="V84" s="53"/>
      <c r="W84" s="53"/>
      <c r="X84" s="185">
        <v>2.9</v>
      </c>
      <c r="Y84" s="53"/>
      <c r="Z84" s="53"/>
      <c r="AA84" s="185">
        <v>0.5</v>
      </c>
      <c r="AB84" s="180"/>
      <c r="AC84" s="101"/>
      <c r="AD84" s="38">
        <f t="shared" si="1"/>
        <v>2</v>
      </c>
      <c r="AE84" s="102"/>
      <c r="AF84" s="102"/>
    </row>
    <row r="85" spans="1:32" s="38" customFormat="1" ht="15" customHeight="1">
      <c r="A85" s="47">
        <v>174</v>
      </c>
      <c r="B85" s="48" t="s">
        <v>407</v>
      </c>
      <c r="C85" s="48">
        <v>2009</v>
      </c>
      <c r="D85" s="74" t="s">
        <v>408</v>
      </c>
      <c r="E85" s="46" t="s">
        <v>16</v>
      </c>
      <c r="F85" s="50" t="s">
        <v>410</v>
      </c>
      <c r="G85" s="48" t="s">
        <v>414</v>
      </c>
      <c r="H85" s="48" t="s">
        <v>49</v>
      </c>
      <c r="I85" s="48"/>
      <c r="J85" s="87" t="s">
        <v>706</v>
      </c>
      <c r="K85" s="48" t="s">
        <v>660</v>
      </c>
      <c r="L85" s="48" t="s">
        <v>424</v>
      </c>
      <c r="M85" s="56"/>
      <c r="N85" s="56"/>
      <c r="O85" s="48" t="s">
        <v>424</v>
      </c>
      <c r="P85" s="52"/>
      <c r="Q85" s="52"/>
      <c r="R85" s="48"/>
      <c r="S85" s="53"/>
      <c r="T85" s="53"/>
      <c r="U85" s="54">
        <v>0.92</v>
      </c>
      <c r="V85" s="53"/>
      <c r="W85" s="53"/>
      <c r="X85" s="185">
        <v>0.9</v>
      </c>
      <c r="Y85" s="53"/>
      <c r="Z85" s="53"/>
      <c r="AA85" s="185">
        <v>0.4</v>
      </c>
      <c r="AB85" s="180"/>
      <c r="AC85" s="101"/>
      <c r="AD85" s="38">
        <f t="shared" si="1"/>
        <v>2</v>
      </c>
      <c r="AE85" s="102"/>
      <c r="AF85" s="102"/>
    </row>
    <row r="86" spans="1:32" s="38" customFormat="1" ht="15" customHeight="1">
      <c r="A86" s="47">
        <v>174</v>
      </c>
      <c r="B86" s="48" t="s">
        <v>407</v>
      </c>
      <c r="C86" s="48">
        <v>2009</v>
      </c>
      <c r="D86" s="74" t="s">
        <v>408</v>
      </c>
      <c r="E86" s="46" t="s">
        <v>16</v>
      </c>
      <c r="F86" s="50" t="s">
        <v>410</v>
      </c>
      <c r="G86" s="48" t="s">
        <v>458</v>
      </c>
      <c r="H86" s="48"/>
      <c r="I86" s="48"/>
      <c r="J86" s="87" t="s">
        <v>598</v>
      </c>
      <c r="K86" s="48" t="s">
        <v>642</v>
      </c>
      <c r="L86" s="48" t="s">
        <v>459</v>
      </c>
      <c r="M86" s="56"/>
      <c r="N86" s="56"/>
      <c r="O86" s="48" t="s">
        <v>460</v>
      </c>
      <c r="P86" s="52"/>
      <c r="Q86" s="52"/>
      <c r="R86" s="48"/>
      <c r="S86" s="53"/>
      <c r="T86" s="53"/>
      <c r="U86" s="54">
        <v>0.94299999999999995</v>
      </c>
      <c r="V86" s="53"/>
      <c r="W86" s="53"/>
      <c r="X86" s="185">
        <v>0.8</v>
      </c>
      <c r="Y86" s="53"/>
      <c r="Z86" s="53"/>
      <c r="AA86" s="185">
        <v>0.5</v>
      </c>
      <c r="AB86" s="180"/>
      <c r="AC86" s="101"/>
      <c r="AD86" s="38">
        <f t="shared" si="1"/>
        <v>2</v>
      </c>
      <c r="AE86" s="102"/>
      <c r="AF86" s="102"/>
    </row>
    <row r="87" spans="1:32" s="38" customFormat="1">
      <c r="A87" s="47">
        <v>174</v>
      </c>
      <c r="B87" s="48" t="s">
        <v>407</v>
      </c>
      <c r="C87" s="48">
        <v>2009</v>
      </c>
      <c r="D87" s="74" t="s">
        <v>408</v>
      </c>
      <c r="E87" s="46" t="s">
        <v>16</v>
      </c>
      <c r="F87" s="50" t="s">
        <v>410</v>
      </c>
      <c r="G87" s="48"/>
      <c r="H87" s="48"/>
      <c r="I87" s="48"/>
      <c r="J87" s="87" t="s">
        <v>704</v>
      </c>
      <c r="K87" s="48" t="s">
        <v>707</v>
      </c>
      <c r="L87" s="48" t="s">
        <v>431</v>
      </c>
      <c r="M87" s="56"/>
      <c r="N87" s="56"/>
      <c r="O87" s="48" t="s">
        <v>432</v>
      </c>
      <c r="P87" s="52"/>
      <c r="Q87" s="52"/>
      <c r="R87" s="48"/>
      <c r="S87" s="53"/>
      <c r="T87" s="53"/>
      <c r="U87" s="54">
        <v>0.90500000000000003</v>
      </c>
      <c r="V87" s="53"/>
      <c r="W87" s="53"/>
      <c r="X87" s="185">
        <v>4.5999999999999996</v>
      </c>
      <c r="Y87" s="53"/>
      <c r="Z87" s="53"/>
      <c r="AA87" s="185">
        <v>0.3</v>
      </c>
      <c r="AB87" s="180"/>
      <c r="AC87" s="101"/>
      <c r="AD87" s="38">
        <f t="shared" si="1"/>
        <v>2</v>
      </c>
      <c r="AE87" s="102"/>
      <c r="AF87" s="102"/>
    </row>
    <row r="88" spans="1:32" s="38" customFormat="1">
      <c r="A88" s="47">
        <v>174</v>
      </c>
      <c r="B88" s="48" t="s">
        <v>407</v>
      </c>
      <c r="C88" s="48">
        <v>2009</v>
      </c>
      <c r="D88" s="74" t="s">
        <v>408</v>
      </c>
      <c r="E88" s="46" t="s">
        <v>16</v>
      </c>
      <c r="F88" s="50" t="s">
        <v>410</v>
      </c>
      <c r="G88" s="48" t="s">
        <v>442</v>
      </c>
      <c r="H88" s="48"/>
      <c r="I88" s="48"/>
      <c r="J88" s="87" t="s">
        <v>598</v>
      </c>
      <c r="K88" s="48" t="s">
        <v>644</v>
      </c>
      <c r="L88" s="48" t="s">
        <v>443</v>
      </c>
      <c r="M88" s="56"/>
      <c r="N88" s="56"/>
      <c r="O88" s="48" t="s">
        <v>443</v>
      </c>
      <c r="P88" s="52"/>
      <c r="Q88" s="52"/>
      <c r="R88" s="48"/>
      <c r="S88" s="53"/>
      <c r="T88" s="53"/>
      <c r="U88" s="54">
        <v>0.91100000000000003</v>
      </c>
      <c r="V88" s="53"/>
      <c r="W88" s="53"/>
      <c r="X88" s="185">
        <v>2.5</v>
      </c>
      <c r="Y88" s="53"/>
      <c r="Z88" s="53"/>
      <c r="AA88" s="185">
        <v>0.4</v>
      </c>
      <c r="AB88" s="180"/>
      <c r="AC88" s="101"/>
      <c r="AD88" s="38">
        <f t="shared" si="1"/>
        <v>2</v>
      </c>
      <c r="AE88" s="102"/>
      <c r="AF88" s="102"/>
    </row>
    <row r="89" spans="1:32" s="38" customFormat="1" ht="15" customHeight="1">
      <c r="A89" s="47">
        <v>174</v>
      </c>
      <c r="B89" s="48" t="s">
        <v>407</v>
      </c>
      <c r="C89" s="48">
        <v>2009</v>
      </c>
      <c r="D89" s="74" t="s">
        <v>408</v>
      </c>
      <c r="E89" s="46" t="s">
        <v>16</v>
      </c>
      <c r="F89" s="50" t="s">
        <v>410</v>
      </c>
      <c r="G89" s="48" t="s">
        <v>423</v>
      </c>
      <c r="H89" s="48" t="s">
        <v>49</v>
      </c>
      <c r="I89" s="48"/>
      <c r="J89" s="87" t="s">
        <v>704</v>
      </c>
      <c r="K89" s="48" t="s">
        <v>655</v>
      </c>
      <c r="L89" s="48" t="s">
        <v>52</v>
      </c>
      <c r="M89" s="56"/>
      <c r="N89" s="56"/>
      <c r="O89" s="48" t="s">
        <v>52</v>
      </c>
      <c r="P89" s="52"/>
      <c r="Q89" s="52"/>
      <c r="R89" s="48"/>
      <c r="S89" s="53"/>
      <c r="T89" s="53"/>
      <c r="U89" s="54">
        <v>0.88900000000000001</v>
      </c>
      <c r="V89" s="53"/>
      <c r="W89" s="53"/>
      <c r="X89" s="185">
        <v>5.7</v>
      </c>
      <c r="Y89" s="53"/>
      <c r="Z89" s="53"/>
      <c r="AA89" s="185"/>
      <c r="AB89" s="180"/>
      <c r="AC89" s="101"/>
      <c r="AD89" s="38">
        <f t="shared" si="1"/>
        <v>1</v>
      </c>
      <c r="AE89" s="102"/>
      <c r="AF89" s="102"/>
    </row>
    <row r="90" spans="1:32" s="38" customFormat="1" ht="15" customHeight="1">
      <c r="A90" s="47">
        <v>174</v>
      </c>
      <c r="B90" s="48" t="s">
        <v>407</v>
      </c>
      <c r="C90" s="48">
        <v>2009</v>
      </c>
      <c r="D90" s="74" t="s">
        <v>408</v>
      </c>
      <c r="E90" s="46" t="s">
        <v>16</v>
      </c>
      <c r="F90" s="50" t="s">
        <v>410</v>
      </c>
      <c r="G90" s="48" t="s">
        <v>425</v>
      </c>
      <c r="H90" s="48" t="s">
        <v>21</v>
      </c>
      <c r="I90" s="48"/>
      <c r="J90" s="87" t="s">
        <v>591</v>
      </c>
      <c r="K90" s="48" t="s">
        <v>639</v>
      </c>
      <c r="L90" s="48" t="s">
        <v>426</v>
      </c>
      <c r="M90" s="56"/>
      <c r="N90" s="56"/>
      <c r="O90" s="48" t="s">
        <v>26</v>
      </c>
      <c r="P90" s="52"/>
      <c r="Q90" s="52"/>
      <c r="R90" s="48"/>
      <c r="S90" s="53"/>
      <c r="T90" s="53"/>
      <c r="U90" s="54">
        <v>0.9</v>
      </c>
      <c r="V90" s="53"/>
      <c r="W90" s="53"/>
      <c r="X90" s="185">
        <v>5.9</v>
      </c>
      <c r="Y90" s="53"/>
      <c r="Z90" s="53"/>
      <c r="AA90" s="185"/>
      <c r="AB90" s="180"/>
      <c r="AC90" s="101"/>
      <c r="AD90" s="38">
        <f t="shared" si="1"/>
        <v>1</v>
      </c>
      <c r="AE90" s="102"/>
      <c r="AF90" s="102"/>
    </row>
    <row r="91" spans="1:32" s="38" customFormat="1" ht="15" customHeight="1">
      <c r="A91" s="47">
        <v>174</v>
      </c>
      <c r="B91" s="48" t="s">
        <v>407</v>
      </c>
      <c r="C91" s="48">
        <v>2009</v>
      </c>
      <c r="D91" s="74" t="s">
        <v>408</v>
      </c>
      <c r="E91" s="46" t="s">
        <v>16</v>
      </c>
      <c r="F91" s="50" t="s">
        <v>410</v>
      </c>
      <c r="G91" s="48" t="s">
        <v>415</v>
      </c>
      <c r="H91" s="48" t="s">
        <v>22</v>
      </c>
      <c r="I91" s="48"/>
      <c r="J91" s="87" t="s">
        <v>593</v>
      </c>
      <c r="K91" s="48" t="s">
        <v>770</v>
      </c>
      <c r="L91" s="48" t="s">
        <v>465</v>
      </c>
      <c r="M91" s="56"/>
      <c r="N91" s="56"/>
      <c r="O91" s="48" t="s">
        <v>465</v>
      </c>
      <c r="P91" s="52"/>
      <c r="Q91" s="52"/>
      <c r="R91" s="48"/>
      <c r="S91" s="53"/>
      <c r="T91" s="53"/>
      <c r="U91" s="54">
        <v>0.84199999999999997</v>
      </c>
      <c r="V91" s="53"/>
      <c r="W91" s="53"/>
      <c r="X91" s="185">
        <v>7.6</v>
      </c>
      <c r="Y91" s="53"/>
      <c r="Z91" s="53"/>
      <c r="AA91" s="185"/>
      <c r="AB91" s="180"/>
      <c r="AC91" s="101"/>
      <c r="AD91" s="38">
        <f t="shared" si="1"/>
        <v>1</v>
      </c>
      <c r="AE91" s="102"/>
      <c r="AF91" s="102"/>
    </row>
    <row r="92" spans="1:32" s="38" customFormat="1" ht="15" customHeight="1">
      <c r="A92" s="47">
        <v>174</v>
      </c>
      <c r="B92" s="48" t="s">
        <v>407</v>
      </c>
      <c r="C92" s="48">
        <v>2009</v>
      </c>
      <c r="D92" s="74" t="s">
        <v>408</v>
      </c>
      <c r="E92" s="46" t="s">
        <v>16</v>
      </c>
      <c r="F92" s="50" t="s">
        <v>410</v>
      </c>
      <c r="G92" s="48" t="s">
        <v>20</v>
      </c>
      <c r="H92" s="48" t="s">
        <v>20</v>
      </c>
      <c r="I92" s="48"/>
      <c r="J92" s="87" t="s">
        <v>604</v>
      </c>
      <c r="K92" s="48" t="s">
        <v>641</v>
      </c>
      <c r="L92" s="48" t="s">
        <v>413</v>
      </c>
      <c r="M92" s="56"/>
      <c r="N92" s="56"/>
      <c r="O92" s="48" t="s">
        <v>413</v>
      </c>
      <c r="P92" s="52"/>
      <c r="Q92" s="52"/>
      <c r="R92" s="48"/>
      <c r="S92" s="53"/>
      <c r="T92" s="53"/>
      <c r="U92" s="54">
        <v>0.88600000000000001</v>
      </c>
      <c r="V92" s="53"/>
      <c r="W92" s="53"/>
      <c r="X92" s="185">
        <v>6.3</v>
      </c>
      <c r="Y92" s="53"/>
      <c r="Z92" s="53"/>
      <c r="AA92" s="185"/>
      <c r="AB92" s="180"/>
      <c r="AC92" s="101"/>
      <c r="AD92" s="38">
        <f t="shared" si="1"/>
        <v>1</v>
      </c>
      <c r="AE92" s="102"/>
      <c r="AF92" s="102"/>
    </row>
    <row r="93" spans="1:32" s="38" customFormat="1" ht="15" customHeight="1">
      <c r="A93" s="47">
        <v>174</v>
      </c>
      <c r="B93" s="48" t="s">
        <v>407</v>
      </c>
      <c r="C93" s="48">
        <v>2009</v>
      </c>
      <c r="D93" s="74" t="s">
        <v>408</v>
      </c>
      <c r="E93" s="46" t="s">
        <v>16</v>
      </c>
      <c r="F93" s="50" t="s">
        <v>410</v>
      </c>
      <c r="G93" s="48" t="s">
        <v>454</v>
      </c>
      <c r="H93" s="48" t="s">
        <v>455</v>
      </c>
      <c r="I93" s="48"/>
      <c r="J93" s="87" t="s">
        <v>704</v>
      </c>
      <c r="K93" s="48" t="s">
        <v>665</v>
      </c>
      <c r="L93" s="48" t="s">
        <v>456</v>
      </c>
      <c r="M93" s="56"/>
      <c r="N93" s="56"/>
      <c r="O93" s="48" t="s">
        <v>457</v>
      </c>
      <c r="P93" s="52"/>
      <c r="Q93" s="52"/>
      <c r="R93" s="48"/>
      <c r="S93" s="53"/>
      <c r="T93" s="53"/>
      <c r="U93" s="54">
        <v>0.95599999999999996</v>
      </c>
      <c r="V93" s="53"/>
      <c r="W93" s="53"/>
      <c r="X93" s="185">
        <v>2.2000000000000002</v>
      </c>
      <c r="Y93" s="53"/>
      <c r="Z93" s="53"/>
      <c r="AA93" s="185">
        <v>0.2</v>
      </c>
      <c r="AB93" s="180"/>
      <c r="AC93" s="101"/>
      <c r="AD93" s="38">
        <f t="shared" si="1"/>
        <v>2</v>
      </c>
      <c r="AE93" s="102"/>
      <c r="AF93" s="102"/>
    </row>
    <row r="94" spans="1:32" s="38" customFormat="1" ht="15" customHeight="1">
      <c r="A94" s="47">
        <v>174</v>
      </c>
      <c r="B94" s="48" t="s">
        <v>407</v>
      </c>
      <c r="C94" s="48">
        <v>2009</v>
      </c>
      <c r="D94" s="74" t="s">
        <v>408</v>
      </c>
      <c r="E94" s="46" t="s">
        <v>16</v>
      </c>
      <c r="F94" s="50" t="s">
        <v>410</v>
      </c>
      <c r="G94" s="48" t="s">
        <v>22</v>
      </c>
      <c r="H94" s="48" t="s">
        <v>22</v>
      </c>
      <c r="I94" s="48"/>
      <c r="J94" s="87" t="s">
        <v>593</v>
      </c>
      <c r="K94" s="48" t="s">
        <v>636</v>
      </c>
      <c r="L94" s="48" t="s">
        <v>441</v>
      </c>
      <c r="M94" s="56"/>
      <c r="N94" s="56"/>
      <c r="O94" s="48" t="s">
        <v>441</v>
      </c>
      <c r="P94" s="52"/>
      <c r="Q94" s="52"/>
      <c r="R94" s="48"/>
      <c r="S94" s="53"/>
      <c r="T94" s="53"/>
      <c r="U94" s="54">
        <v>0.91500000000000004</v>
      </c>
      <c r="V94" s="53"/>
      <c r="W94" s="53"/>
      <c r="X94" s="185">
        <v>3.6</v>
      </c>
      <c r="Y94" s="53"/>
      <c r="Z94" s="53"/>
      <c r="AA94" s="185">
        <v>1</v>
      </c>
      <c r="AB94" s="180"/>
      <c r="AC94" s="101"/>
      <c r="AD94" s="38">
        <f t="shared" si="1"/>
        <v>2</v>
      </c>
      <c r="AE94" s="102"/>
      <c r="AF94" s="102"/>
    </row>
    <row r="95" spans="1:32" s="38" customFormat="1" ht="15" customHeight="1">
      <c r="A95" s="47">
        <v>174</v>
      </c>
      <c r="B95" s="48" t="s">
        <v>407</v>
      </c>
      <c r="C95" s="48">
        <v>2009</v>
      </c>
      <c r="D95" s="74" t="s">
        <v>408</v>
      </c>
      <c r="E95" s="46" t="s">
        <v>16</v>
      </c>
      <c r="F95" s="50" t="s">
        <v>410</v>
      </c>
      <c r="G95" s="48" t="s">
        <v>450</v>
      </c>
      <c r="H95" s="48" t="s">
        <v>450</v>
      </c>
      <c r="I95" s="48"/>
      <c r="J95" s="87" t="s">
        <v>591</v>
      </c>
      <c r="K95" s="48" t="s">
        <v>591</v>
      </c>
      <c r="L95" s="48" t="s">
        <v>451</v>
      </c>
      <c r="M95" s="56"/>
      <c r="N95" s="56"/>
      <c r="O95" s="48" t="s">
        <v>452</v>
      </c>
      <c r="P95" s="52"/>
      <c r="Q95" s="52"/>
      <c r="R95" s="48"/>
      <c r="S95" s="53"/>
      <c r="T95" s="53"/>
      <c r="U95" s="54">
        <v>0.96499999999999997</v>
      </c>
      <c r="V95" s="53"/>
      <c r="W95" s="53"/>
      <c r="X95" s="185">
        <v>3.5</v>
      </c>
      <c r="Y95" s="53"/>
      <c r="Z95" s="53"/>
      <c r="AA95" s="185"/>
      <c r="AB95" s="180"/>
      <c r="AC95" s="101"/>
      <c r="AD95" s="38">
        <f t="shared" si="1"/>
        <v>1</v>
      </c>
      <c r="AE95" s="102"/>
      <c r="AF95" s="102"/>
    </row>
    <row r="96" spans="1:32" s="38" customFormat="1" ht="15" customHeight="1">
      <c r="A96" s="47">
        <v>182</v>
      </c>
      <c r="B96" s="49" t="s">
        <v>466</v>
      </c>
      <c r="C96" s="48">
        <v>2010</v>
      </c>
      <c r="D96" s="105" t="s">
        <v>467</v>
      </c>
      <c r="E96" s="46" t="s">
        <v>16</v>
      </c>
      <c r="F96" s="48">
        <v>2008</v>
      </c>
      <c r="G96" s="48" t="s">
        <v>469</v>
      </c>
      <c r="H96" s="48" t="s">
        <v>470</v>
      </c>
      <c r="I96" s="48"/>
      <c r="J96" s="87" t="s">
        <v>704</v>
      </c>
      <c r="K96" s="48" t="s">
        <v>691</v>
      </c>
      <c r="L96" s="48" t="s">
        <v>586</v>
      </c>
      <c r="M96" s="48"/>
      <c r="N96" s="48"/>
      <c r="O96" s="48" t="s">
        <v>476</v>
      </c>
      <c r="P96" s="48"/>
      <c r="Q96" s="48"/>
      <c r="R96" s="48">
        <v>0.93</v>
      </c>
      <c r="S96" s="53"/>
      <c r="T96" s="53"/>
      <c r="U96" s="53"/>
      <c r="V96" s="53"/>
      <c r="W96" s="53"/>
      <c r="X96" s="180"/>
      <c r="Y96" s="53"/>
      <c r="Z96" s="53"/>
      <c r="AA96" s="180"/>
      <c r="AB96" s="182">
        <f>9.1*0.52</f>
        <v>4.7320000000000002</v>
      </c>
      <c r="AC96" s="101"/>
      <c r="AD96" s="38">
        <f t="shared" si="1"/>
        <v>1</v>
      </c>
      <c r="AE96" s="102"/>
      <c r="AF96" s="102"/>
    </row>
    <row r="97" spans="1:32" s="38" customFormat="1" ht="15" customHeight="1">
      <c r="A97" s="47">
        <v>182</v>
      </c>
      <c r="B97" s="49" t="s">
        <v>466</v>
      </c>
      <c r="C97" s="48">
        <v>2010</v>
      </c>
      <c r="D97" s="105" t="s">
        <v>467</v>
      </c>
      <c r="E97" s="46" t="s">
        <v>16</v>
      </c>
      <c r="F97" s="48">
        <v>2008</v>
      </c>
      <c r="G97" s="48" t="s">
        <v>469</v>
      </c>
      <c r="H97" s="48" t="s">
        <v>470</v>
      </c>
      <c r="I97" s="48"/>
      <c r="J97" s="87" t="s">
        <v>704</v>
      </c>
      <c r="K97" s="48" t="s">
        <v>692</v>
      </c>
      <c r="L97" s="48" t="s">
        <v>587</v>
      </c>
      <c r="M97" s="48"/>
      <c r="N97" s="48"/>
      <c r="O97" s="48" t="s">
        <v>477</v>
      </c>
      <c r="P97" s="48"/>
      <c r="Q97" s="48"/>
      <c r="R97" s="48">
        <v>0.94</v>
      </c>
      <c r="S97" s="53"/>
      <c r="T97" s="53"/>
      <c r="U97" s="53"/>
      <c r="V97" s="53"/>
      <c r="W97" s="53"/>
      <c r="X97" s="180"/>
      <c r="Y97" s="53"/>
      <c r="Z97" s="53"/>
      <c r="AA97" s="180"/>
      <c r="AB97" s="182">
        <f>9.1*0.48</f>
        <v>4.3679999999999994</v>
      </c>
      <c r="AC97" s="101"/>
      <c r="AD97" s="38">
        <f t="shared" si="1"/>
        <v>1</v>
      </c>
      <c r="AE97" s="102"/>
      <c r="AF97" s="102"/>
    </row>
    <row r="98" spans="1:32" s="38" customFormat="1" ht="15" customHeight="1">
      <c r="A98" s="47">
        <v>182</v>
      </c>
      <c r="B98" s="49" t="s">
        <v>466</v>
      </c>
      <c r="C98" s="48">
        <v>2010</v>
      </c>
      <c r="D98" s="105" t="s">
        <v>467</v>
      </c>
      <c r="E98" s="46" t="s">
        <v>16</v>
      </c>
      <c r="F98" s="48">
        <v>2008</v>
      </c>
      <c r="G98" s="48" t="s">
        <v>469</v>
      </c>
      <c r="H98" s="48" t="s">
        <v>470</v>
      </c>
      <c r="I98" s="48"/>
      <c r="J98" s="87" t="s">
        <v>709</v>
      </c>
      <c r="K98" s="48" t="s">
        <v>686</v>
      </c>
      <c r="L98" s="48" t="s">
        <v>581</v>
      </c>
      <c r="M98" s="48"/>
      <c r="N98" s="48"/>
      <c r="O98" s="48" t="s">
        <v>473</v>
      </c>
      <c r="P98" s="48"/>
      <c r="Q98" s="48"/>
      <c r="R98" s="48">
        <v>0.92</v>
      </c>
      <c r="S98" s="53"/>
      <c r="T98" s="53"/>
      <c r="U98" s="53"/>
      <c r="V98" s="53"/>
      <c r="W98" s="53"/>
      <c r="X98" s="180"/>
      <c r="Y98" s="53"/>
      <c r="Z98" s="53"/>
      <c r="AA98" s="180"/>
      <c r="AB98" s="182">
        <f>0.49*0.32</f>
        <v>0.15679999999999999</v>
      </c>
      <c r="AC98" s="101"/>
      <c r="AD98" s="38">
        <f t="shared" si="1"/>
        <v>1</v>
      </c>
      <c r="AE98" s="102"/>
      <c r="AF98" s="102"/>
    </row>
    <row r="99" spans="1:32" s="38" customFormat="1" ht="15" customHeight="1">
      <c r="A99" s="47">
        <v>182</v>
      </c>
      <c r="B99" s="49" t="s">
        <v>466</v>
      </c>
      <c r="C99" s="48">
        <v>2010</v>
      </c>
      <c r="D99" s="105" t="s">
        <v>467</v>
      </c>
      <c r="E99" s="46" t="s">
        <v>16</v>
      </c>
      <c r="F99" s="48">
        <v>2008</v>
      </c>
      <c r="G99" s="48" t="s">
        <v>469</v>
      </c>
      <c r="H99" s="48" t="s">
        <v>470</v>
      </c>
      <c r="I99" s="48"/>
      <c r="J99" s="87" t="s">
        <v>704</v>
      </c>
      <c r="K99" s="48" t="s">
        <v>688</v>
      </c>
      <c r="L99" s="48" t="s">
        <v>582</v>
      </c>
      <c r="M99" s="48"/>
      <c r="N99" s="48"/>
      <c r="O99" s="48" t="s">
        <v>472</v>
      </c>
      <c r="P99" s="48"/>
      <c r="Q99" s="48"/>
      <c r="R99" s="48">
        <v>0.94</v>
      </c>
      <c r="S99" s="53"/>
      <c r="T99" s="53"/>
      <c r="U99" s="53"/>
      <c r="V99" s="53"/>
      <c r="W99" s="53"/>
      <c r="X99" s="180"/>
      <c r="Y99" s="53"/>
      <c r="Z99" s="53"/>
      <c r="AA99" s="180"/>
      <c r="AB99" s="182">
        <f>5.9*0.5</f>
        <v>2.95</v>
      </c>
      <c r="AC99" s="101"/>
      <c r="AD99" s="38">
        <f t="shared" si="1"/>
        <v>1</v>
      </c>
      <c r="AE99" s="102"/>
      <c r="AF99" s="102"/>
    </row>
    <row r="100" spans="1:32" s="38" customFormat="1" ht="15" customHeight="1">
      <c r="A100" s="47">
        <v>182</v>
      </c>
      <c r="B100" s="49" t="s">
        <v>466</v>
      </c>
      <c r="C100" s="48">
        <v>2010</v>
      </c>
      <c r="D100" s="105" t="s">
        <v>467</v>
      </c>
      <c r="E100" s="46" t="s">
        <v>16</v>
      </c>
      <c r="F100" s="48">
        <v>2008</v>
      </c>
      <c r="G100" s="48" t="s">
        <v>469</v>
      </c>
      <c r="H100" s="48" t="s">
        <v>470</v>
      </c>
      <c r="I100" s="48"/>
      <c r="J100" s="87" t="s">
        <v>704</v>
      </c>
      <c r="K100" s="48" t="s">
        <v>689</v>
      </c>
      <c r="L100" s="48" t="s">
        <v>584</v>
      </c>
      <c r="M100" s="48"/>
      <c r="N100" s="48"/>
      <c r="O100" s="48" t="s">
        <v>478</v>
      </c>
      <c r="P100" s="48"/>
      <c r="Q100" s="48"/>
      <c r="R100" s="48">
        <v>0.91</v>
      </c>
      <c r="S100" s="53"/>
      <c r="T100" s="53"/>
      <c r="U100" s="53"/>
      <c r="V100" s="53"/>
      <c r="W100" s="53"/>
      <c r="X100" s="180"/>
      <c r="Y100" s="53"/>
      <c r="Z100" s="53"/>
      <c r="AA100" s="180"/>
      <c r="AB100" s="182">
        <f>7.1*0.49</f>
        <v>3.4789999999999996</v>
      </c>
      <c r="AC100" s="101"/>
      <c r="AD100" s="38">
        <f t="shared" si="1"/>
        <v>1</v>
      </c>
      <c r="AE100" s="102"/>
      <c r="AF100" s="102"/>
    </row>
    <row r="101" spans="1:32" s="38" customFormat="1" ht="15" customHeight="1">
      <c r="A101" s="47">
        <v>182</v>
      </c>
      <c r="B101" s="49" t="s">
        <v>466</v>
      </c>
      <c r="C101" s="48">
        <v>2010</v>
      </c>
      <c r="D101" s="105" t="s">
        <v>467</v>
      </c>
      <c r="E101" s="46" t="s">
        <v>16</v>
      </c>
      <c r="F101" s="48">
        <v>2008</v>
      </c>
      <c r="G101" s="48" t="s">
        <v>469</v>
      </c>
      <c r="H101" s="48" t="s">
        <v>470</v>
      </c>
      <c r="I101" s="48"/>
      <c r="J101" s="87" t="s">
        <v>704</v>
      </c>
      <c r="K101" s="48" t="s">
        <v>687</v>
      </c>
      <c r="L101" s="48" t="s">
        <v>583</v>
      </c>
      <c r="M101" s="48"/>
      <c r="N101" s="48"/>
      <c r="O101" s="48" t="s">
        <v>479</v>
      </c>
      <c r="P101" s="48"/>
      <c r="Q101" s="48"/>
      <c r="R101" s="48">
        <v>0.94</v>
      </c>
      <c r="S101" s="53"/>
      <c r="T101" s="53"/>
      <c r="U101" s="53"/>
      <c r="V101" s="53"/>
      <c r="W101" s="53"/>
      <c r="X101" s="180"/>
      <c r="Y101" s="53"/>
      <c r="Z101" s="53"/>
      <c r="AA101" s="180"/>
      <c r="AB101" s="182">
        <f>5.4*0.48</f>
        <v>2.5920000000000001</v>
      </c>
      <c r="AC101" s="101"/>
      <c r="AD101" s="38">
        <f t="shared" si="1"/>
        <v>1</v>
      </c>
      <c r="AE101" s="102"/>
      <c r="AF101" s="102"/>
    </row>
    <row r="102" spans="1:32" s="38" customFormat="1" ht="15" customHeight="1">
      <c r="A102" s="47">
        <v>182</v>
      </c>
      <c r="B102" s="49" t="s">
        <v>466</v>
      </c>
      <c r="C102" s="48">
        <v>2010</v>
      </c>
      <c r="D102" s="105" t="s">
        <v>467</v>
      </c>
      <c r="E102" s="46" t="s">
        <v>16</v>
      </c>
      <c r="F102" s="48">
        <v>2008</v>
      </c>
      <c r="G102" s="48" t="s">
        <v>469</v>
      </c>
      <c r="H102" s="48" t="s">
        <v>470</v>
      </c>
      <c r="I102" s="48"/>
      <c r="J102" s="87" t="s">
        <v>704</v>
      </c>
      <c r="K102" s="48" t="s">
        <v>690</v>
      </c>
      <c r="L102" s="48" t="s">
        <v>585</v>
      </c>
      <c r="M102" s="48"/>
      <c r="N102" s="48"/>
      <c r="O102" s="48" t="s">
        <v>481</v>
      </c>
      <c r="P102" s="48"/>
      <c r="Q102" s="48"/>
      <c r="R102" s="48">
        <v>0.92</v>
      </c>
      <c r="S102" s="53"/>
      <c r="T102" s="53"/>
      <c r="U102" s="53"/>
      <c r="V102" s="53"/>
      <c r="W102" s="53"/>
      <c r="X102" s="180"/>
      <c r="Y102" s="53"/>
      <c r="Z102" s="53"/>
      <c r="AA102" s="180"/>
      <c r="AB102" s="182">
        <f>7.7*0.47</f>
        <v>3.6189999999999998</v>
      </c>
      <c r="AC102" s="101"/>
      <c r="AD102" s="38">
        <f t="shared" si="1"/>
        <v>1</v>
      </c>
      <c r="AE102" s="102"/>
      <c r="AF102" s="102"/>
    </row>
    <row r="103" spans="1:32" s="38" customFormat="1" ht="15" customHeight="1">
      <c r="A103" s="47">
        <v>182</v>
      </c>
      <c r="B103" s="49" t="s">
        <v>466</v>
      </c>
      <c r="C103" s="48">
        <v>2010</v>
      </c>
      <c r="D103" s="105" t="s">
        <v>467</v>
      </c>
      <c r="E103" s="46" t="s">
        <v>16</v>
      </c>
      <c r="F103" s="48">
        <v>2008</v>
      </c>
      <c r="G103" s="48" t="s">
        <v>469</v>
      </c>
      <c r="H103" s="48" t="s">
        <v>470</v>
      </c>
      <c r="I103" s="48"/>
      <c r="J103" s="87" t="s">
        <v>704</v>
      </c>
      <c r="K103" s="48" t="s">
        <v>693</v>
      </c>
      <c r="L103" s="48" t="s">
        <v>588</v>
      </c>
      <c r="M103" s="48"/>
      <c r="N103" s="48"/>
      <c r="O103" s="48" t="s">
        <v>482</v>
      </c>
      <c r="P103" s="48"/>
      <c r="Q103" s="48"/>
      <c r="R103" s="48">
        <v>0.92</v>
      </c>
      <c r="S103" s="53"/>
      <c r="T103" s="53"/>
      <c r="U103" s="53"/>
      <c r="V103" s="53"/>
      <c r="W103" s="53"/>
      <c r="X103" s="180"/>
      <c r="Y103" s="53"/>
      <c r="Z103" s="53"/>
      <c r="AA103" s="180"/>
      <c r="AB103" s="182">
        <f>10.5*0.5</f>
        <v>5.25</v>
      </c>
      <c r="AC103" s="101"/>
      <c r="AD103" s="38">
        <f t="shared" si="1"/>
        <v>1</v>
      </c>
      <c r="AE103" s="102"/>
      <c r="AF103" s="102"/>
    </row>
    <row r="104" spans="1:32" s="38" customFormat="1" ht="15" customHeight="1">
      <c r="A104" s="47">
        <v>197</v>
      </c>
      <c r="B104" s="105" t="s">
        <v>466</v>
      </c>
      <c r="C104" s="48">
        <v>2007</v>
      </c>
      <c r="D104" s="105" t="s">
        <v>513</v>
      </c>
      <c r="E104" s="46" t="s">
        <v>16</v>
      </c>
      <c r="F104" s="48">
        <v>2003</v>
      </c>
      <c r="G104" s="48" t="s">
        <v>125</v>
      </c>
      <c r="H104" s="48" t="s">
        <v>49</v>
      </c>
      <c r="I104" s="48"/>
      <c r="J104" s="87" t="s">
        <v>704</v>
      </c>
      <c r="K104" s="48" t="s">
        <v>683</v>
      </c>
      <c r="L104" s="48" t="s">
        <v>464</v>
      </c>
      <c r="M104" s="48"/>
      <c r="N104" s="48"/>
      <c r="O104" s="48" t="s">
        <v>522</v>
      </c>
      <c r="P104" s="48">
        <v>0.98</v>
      </c>
      <c r="Q104" s="48">
        <v>0.5</v>
      </c>
      <c r="R104" s="48">
        <v>0.9</v>
      </c>
      <c r="S104" s="53">
        <v>0.99</v>
      </c>
      <c r="T104" s="53" t="s">
        <v>523</v>
      </c>
      <c r="U104" s="53" t="s">
        <v>524</v>
      </c>
      <c r="V104" s="53">
        <v>4.3</v>
      </c>
      <c r="W104" s="53">
        <v>4.8</v>
      </c>
      <c r="X104" s="180">
        <v>4.5</v>
      </c>
      <c r="Y104" s="53">
        <v>4.8</v>
      </c>
      <c r="Z104" s="53">
        <v>10.199999999999999</v>
      </c>
      <c r="AA104" s="180">
        <v>6.5</v>
      </c>
      <c r="AB104" s="180"/>
      <c r="AC104" s="101"/>
      <c r="AD104" s="38">
        <f t="shared" si="1"/>
        <v>2</v>
      </c>
      <c r="AE104" s="102"/>
      <c r="AF104" s="102"/>
    </row>
    <row r="105" spans="1:32" s="38" customFormat="1" ht="15" customHeight="1">
      <c r="A105" s="47">
        <v>197</v>
      </c>
      <c r="B105" s="105" t="s">
        <v>466</v>
      </c>
      <c r="C105" s="48">
        <v>2007</v>
      </c>
      <c r="D105" s="105" t="s">
        <v>513</v>
      </c>
      <c r="E105" s="46" t="s">
        <v>16</v>
      </c>
      <c r="F105" s="48">
        <v>2003</v>
      </c>
      <c r="G105" s="48" t="s">
        <v>125</v>
      </c>
      <c r="H105" s="48" t="s">
        <v>49</v>
      </c>
      <c r="I105" s="48"/>
      <c r="J105" s="87" t="s">
        <v>706</v>
      </c>
      <c r="K105" s="48" t="s">
        <v>654</v>
      </c>
      <c r="L105" s="48" t="s">
        <v>201</v>
      </c>
      <c r="M105" s="48"/>
      <c r="N105" s="48"/>
      <c r="O105" s="48" t="s">
        <v>516</v>
      </c>
      <c r="P105" s="48">
        <v>0.97</v>
      </c>
      <c r="Q105" s="48">
        <v>0.87</v>
      </c>
      <c r="R105" s="48">
        <v>0.96</v>
      </c>
      <c r="S105" s="53">
        <v>0.98</v>
      </c>
      <c r="T105" s="53">
        <v>0.88</v>
      </c>
      <c r="U105" s="53">
        <v>0.97</v>
      </c>
      <c r="V105" s="53">
        <v>2.9</v>
      </c>
      <c r="W105" s="53">
        <v>4.9000000000000004</v>
      </c>
      <c r="X105" s="180">
        <v>3.1</v>
      </c>
      <c r="Y105" s="53">
        <v>0.9</v>
      </c>
      <c r="Z105" s="53">
        <v>2.1</v>
      </c>
      <c r="AA105" s="180">
        <v>1</v>
      </c>
      <c r="AB105" s="180"/>
      <c r="AC105" s="101"/>
      <c r="AD105" s="38">
        <f t="shared" si="1"/>
        <v>2</v>
      </c>
      <c r="AE105" s="102"/>
      <c r="AF105" s="102"/>
    </row>
    <row r="106" spans="1:32" s="38" customFormat="1" ht="15" customHeight="1">
      <c r="A106" s="47">
        <v>197</v>
      </c>
      <c r="B106" s="105" t="s">
        <v>466</v>
      </c>
      <c r="C106" s="48">
        <v>2007</v>
      </c>
      <c r="D106" s="105" t="s">
        <v>513</v>
      </c>
      <c r="E106" s="46" t="s">
        <v>16</v>
      </c>
      <c r="F106" s="48">
        <v>2003</v>
      </c>
      <c r="G106" s="48" t="s">
        <v>125</v>
      </c>
      <c r="H106" s="48" t="s">
        <v>49</v>
      </c>
      <c r="I106" s="48"/>
      <c r="J106" s="87" t="s">
        <v>706</v>
      </c>
      <c r="K106" s="48" t="s">
        <v>653</v>
      </c>
      <c r="L106" s="48" t="s">
        <v>121</v>
      </c>
      <c r="M106" s="48"/>
      <c r="N106" s="48"/>
      <c r="O106" s="48" t="s">
        <v>515</v>
      </c>
      <c r="P106" s="48">
        <v>0.98</v>
      </c>
      <c r="Q106" s="48">
        <v>0.88</v>
      </c>
      <c r="R106" s="48">
        <v>0.98</v>
      </c>
      <c r="S106" s="53">
        <v>0.99</v>
      </c>
      <c r="T106" s="53">
        <v>0.89</v>
      </c>
      <c r="U106" s="53">
        <v>0.99</v>
      </c>
      <c r="V106" s="53">
        <v>0.5</v>
      </c>
      <c r="W106" s="53">
        <v>1.3</v>
      </c>
      <c r="X106" s="180">
        <v>0.5</v>
      </c>
      <c r="Y106" s="53">
        <v>0.3</v>
      </c>
      <c r="Z106" s="53">
        <v>1.1000000000000001</v>
      </c>
      <c r="AA106" s="180">
        <v>0.3</v>
      </c>
      <c r="AB106" s="180"/>
      <c r="AC106" s="101"/>
      <c r="AD106" s="38">
        <f t="shared" si="1"/>
        <v>2</v>
      </c>
      <c r="AE106" s="102"/>
      <c r="AF106" s="102"/>
    </row>
    <row r="107" spans="1:32" s="38" customFormat="1" ht="15" customHeight="1">
      <c r="A107" s="47">
        <v>197</v>
      </c>
      <c r="B107" s="105" t="s">
        <v>466</v>
      </c>
      <c r="C107" s="48">
        <v>2007</v>
      </c>
      <c r="D107" s="105" t="s">
        <v>513</v>
      </c>
      <c r="E107" s="46" t="s">
        <v>16</v>
      </c>
      <c r="F107" s="48">
        <v>2003</v>
      </c>
      <c r="G107" s="48" t="s">
        <v>125</v>
      </c>
      <c r="H107" s="48" t="s">
        <v>49</v>
      </c>
      <c r="I107" s="48"/>
      <c r="J107" s="87" t="s">
        <v>704</v>
      </c>
      <c r="K107" s="48" t="s">
        <v>655</v>
      </c>
      <c r="L107" s="48" t="s">
        <v>167</v>
      </c>
      <c r="M107" s="48"/>
      <c r="N107" s="48"/>
      <c r="O107" s="48" t="s">
        <v>518</v>
      </c>
      <c r="P107" s="48">
        <v>0.96</v>
      </c>
      <c r="Q107" s="48">
        <v>0.86</v>
      </c>
      <c r="R107" s="48">
        <v>0.93</v>
      </c>
      <c r="S107" s="53">
        <v>0.98</v>
      </c>
      <c r="T107" s="53">
        <v>0.88</v>
      </c>
      <c r="U107" s="53">
        <v>0.95</v>
      </c>
      <c r="V107" s="53">
        <v>1.6</v>
      </c>
      <c r="W107" s="53">
        <v>6.6</v>
      </c>
      <c r="X107" s="180">
        <v>3.3</v>
      </c>
      <c r="Y107" s="53">
        <v>0.2</v>
      </c>
      <c r="Z107" s="53">
        <v>0.7</v>
      </c>
      <c r="AA107" s="180">
        <v>0.3</v>
      </c>
      <c r="AB107" s="180"/>
      <c r="AC107" s="101"/>
      <c r="AD107" s="38">
        <f t="shared" si="1"/>
        <v>2</v>
      </c>
      <c r="AE107" s="102"/>
      <c r="AF107" s="102"/>
    </row>
    <row r="108" spans="1:32" s="38" customFormat="1" ht="15" customHeight="1">
      <c r="A108" s="47">
        <v>197</v>
      </c>
      <c r="B108" s="105" t="s">
        <v>466</v>
      </c>
      <c r="C108" s="48">
        <v>2007</v>
      </c>
      <c r="D108" s="105" t="s">
        <v>513</v>
      </c>
      <c r="E108" s="46" t="s">
        <v>16</v>
      </c>
      <c r="F108" s="48">
        <v>2003</v>
      </c>
      <c r="G108" s="48" t="s">
        <v>125</v>
      </c>
      <c r="H108" s="48" t="s">
        <v>49</v>
      </c>
      <c r="I108" s="48"/>
      <c r="J108" s="87" t="s">
        <v>706</v>
      </c>
      <c r="K108" s="48" t="s">
        <v>708</v>
      </c>
      <c r="L108" s="48" t="s">
        <v>509</v>
      </c>
      <c r="M108" s="48"/>
      <c r="N108" s="48"/>
      <c r="O108" s="48" t="s">
        <v>517</v>
      </c>
      <c r="P108" s="48">
        <v>0.98</v>
      </c>
      <c r="Q108" s="48">
        <v>0.8</v>
      </c>
      <c r="R108" s="48">
        <v>0.93</v>
      </c>
      <c r="S108" s="53">
        <v>0.99</v>
      </c>
      <c r="T108" s="53">
        <v>0.85</v>
      </c>
      <c r="U108" s="53">
        <v>0.96</v>
      </c>
      <c r="V108" s="53">
        <v>2.5</v>
      </c>
      <c r="W108" s="53">
        <v>2.5</v>
      </c>
      <c r="X108" s="180">
        <v>2.5</v>
      </c>
      <c r="Y108" s="53">
        <v>0.6</v>
      </c>
      <c r="Z108" s="53">
        <v>0.9</v>
      </c>
      <c r="AA108" s="180">
        <v>0.7</v>
      </c>
      <c r="AB108" s="180"/>
      <c r="AC108" s="101"/>
      <c r="AD108" s="38">
        <f t="shared" si="1"/>
        <v>2</v>
      </c>
      <c r="AE108" s="102"/>
      <c r="AF108" s="102"/>
    </row>
    <row r="109" spans="1:32" s="38" customFormat="1" ht="15" customHeight="1">
      <c r="A109" s="47">
        <v>203</v>
      </c>
      <c r="B109" s="105" t="s">
        <v>527</v>
      </c>
      <c r="C109" s="48">
        <v>2011</v>
      </c>
      <c r="D109" s="105" t="s">
        <v>528</v>
      </c>
      <c r="E109" s="46" t="s">
        <v>16</v>
      </c>
      <c r="F109" s="48">
        <v>2009</v>
      </c>
      <c r="G109" s="48" t="s">
        <v>125</v>
      </c>
      <c r="H109" s="48"/>
      <c r="I109" s="48"/>
      <c r="J109" s="87" t="s">
        <v>750</v>
      </c>
      <c r="K109" s="48" t="s">
        <v>600</v>
      </c>
      <c r="L109" s="48" t="s">
        <v>436</v>
      </c>
      <c r="M109" s="48"/>
      <c r="N109" s="48"/>
      <c r="O109" s="48">
        <v>51</v>
      </c>
      <c r="P109" s="48"/>
      <c r="Q109" s="48"/>
      <c r="R109" s="48"/>
      <c r="S109" s="53"/>
      <c r="T109" s="53"/>
      <c r="U109" s="53">
        <v>0.91</v>
      </c>
      <c r="V109" s="53"/>
      <c r="W109" s="53"/>
      <c r="X109" s="180"/>
      <c r="Y109" s="53"/>
      <c r="Z109" s="53"/>
      <c r="AA109" s="180"/>
      <c r="AB109" s="180">
        <v>1.7</v>
      </c>
      <c r="AC109" s="101"/>
      <c r="AD109" s="38">
        <f t="shared" si="1"/>
        <v>1</v>
      </c>
      <c r="AE109" s="102"/>
      <c r="AF109" s="102"/>
    </row>
    <row r="110" spans="1:32" s="38" customFormat="1" ht="15" customHeight="1">
      <c r="A110" s="47">
        <v>203</v>
      </c>
      <c r="B110" s="105" t="s">
        <v>527</v>
      </c>
      <c r="C110" s="48">
        <v>2011</v>
      </c>
      <c r="D110" s="105" t="s">
        <v>528</v>
      </c>
      <c r="E110" s="46" t="s">
        <v>16</v>
      </c>
      <c r="F110" s="48">
        <v>2009</v>
      </c>
      <c r="G110" s="48" t="s">
        <v>125</v>
      </c>
      <c r="H110" s="48"/>
      <c r="I110" s="48"/>
      <c r="J110" s="87" t="s">
        <v>710</v>
      </c>
      <c r="K110" s="48" t="s">
        <v>638</v>
      </c>
      <c r="L110" s="48" t="s">
        <v>446</v>
      </c>
      <c r="M110" s="48"/>
      <c r="N110" s="48"/>
      <c r="O110" s="48">
        <v>66</v>
      </c>
      <c r="P110" s="48"/>
      <c r="Q110" s="48"/>
      <c r="R110" s="48"/>
      <c r="S110" s="53"/>
      <c r="T110" s="53"/>
      <c r="U110" s="53">
        <v>0.95</v>
      </c>
      <c r="V110" s="53"/>
      <c r="W110" s="53"/>
      <c r="X110" s="180"/>
      <c r="Y110" s="53"/>
      <c r="Z110" s="53"/>
      <c r="AA110" s="180"/>
      <c r="AB110" s="180">
        <v>3.5</v>
      </c>
      <c r="AC110" s="101"/>
      <c r="AD110" s="38">
        <f t="shared" si="1"/>
        <v>1</v>
      </c>
      <c r="AE110" s="102"/>
      <c r="AF110" s="102"/>
    </row>
    <row r="111" spans="1:32" s="38" customFormat="1" ht="15" customHeight="1">
      <c r="A111" s="47">
        <v>203</v>
      </c>
      <c r="B111" s="105" t="s">
        <v>527</v>
      </c>
      <c r="C111" s="48">
        <v>2011</v>
      </c>
      <c r="D111" s="105" t="s">
        <v>528</v>
      </c>
      <c r="E111" s="46" t="s">
        <v>16</v>
      </c>
      <c r="F111" s="48">
        <v>2009</v>
      </c>
      <c r="G111" s="48" t="s">
        <v>125</v>
      </c>
      <c r="H111" s="48"/>
      <c r="I111" s="48"/>
      <c r="J111" s="87" t="s">
        <v>704</v>
      </c>
      <c r="K111" s="48" t="s">
        <v>614</v>
      </c>
      <c r="L111" s="48" t="s">
        <v>92</v>
      </c>
      <c r="M111" s="48"/>
      <c r="N111" s="48"/>
      <c r="O111" s="48">
        <v>59</v>
      </c>
      <c r="P111" s="48"/>
      <c r="Q111" s="48"/>
      <c r="R111" s="48"/>
      <c r="S111" s="53"/>
      <c r="T111" s="53"/>
      <c r="U111" s="53">
        <v>0.94</v>
      </c>
      <c r="V111" s="53"/>
      <c r="W111" s="53"/>
      <c r="X111" s="180"/>
      <c r="Y111" s="53"/>
      <c r="Z111" s="53"/>
      <c r="AA111" s="180"/>
      <c r="AB111" s="180">
        <v>3.3</v>
      </c>
      <c r="AC111" s="101"/>
      <c r="AD111" s="38">
        <f t="shared" si="1"/>
        <v>1</v>
      </c>
      <c r="AE111" s="102"/>
      <c r="AF111" s="102"/>
    </row>
    <row r="112" spans="1:32" s="38" customFormat="1" ht="15" customHeight="1">
      <c r="A112" s="47">
        <v>203</v>
      </c>
      <c r="B112" s="105" t="s">
        <v>527</v>
      </c>
      <c r="C112" s="48">
        <v>2011</v>
      </c>
      <c r="D112" s="105" t="s">
        <v>528</v>
      </c>
      <c r="E112" s="46" t="s">
        <v>16</v>
      </c>
      <c r="F112" s="48">
        <v>2009</v>
      </c>
      <c r="G112" s="48" t="s">
        <v>125</v>
      </c>
      <c r="H112" s="48"/>
      <c r="I112" s="48"/>
      <c r="J112" s="87" t="s">
        <v>593</v>
      </c>
      <c r="K112" s="48" t="s">
        <v>633</v>
      </c>
      <c r="L112" s="48" t="s">
        <v>430</v>
      </c>
      <c r="M112" s="48"/>
      <c r="N112" s="48"/>
      <c r="O112" s="48">
        <v>47</v>
      </c>
      <c r="P112" s="48"/>
      <c r="Q112" s="48"/>
      <c r="R112" s="48"/>
      <c r="S112" s="53"/>
      <c r="T112" s="53"/>
      <c r="U112" s="53">
        <v>0.95</v>
      </c>
      <c r="V112" s="53"/>
      <c r="W112" s="53"/>
      <c r="X112" s="180"/>
      <c r="Y112" s="53"/>
      <c r="Z112" s="53"/>
      <c r="AA112" s="180"/>
      <c r="AB112" s="180">
        <v>2.7</v>
      </c>
      <c r="AC112" s="101"/>
      <c r="AD112" s="38">
        <f t="shared" si="1"/>
        <v>1</v>
      </c>
      <c r="AE112" s="102"/>
      <c r="AF112" s="102"/>
    </row>
    <row r="113" spans="1:32" s="38" customFormat="1" ht="15" customHeight="1">
      <c r="A113" s="47">
        <v>203</v>
      </c>
      <c r="B113" s="105" t="s">
        <v>527</v>
      </c>
      <c r="C113" s="48">
        <v>2011</v>
      </c>
      <c r="D113" s="105" t="s">
        <v>528</v>
      </c>
      <c r="E113" s="46" t="s">
        <v>16</v>
      </c>
      <c r="F113" s="48">
        <v>2009</v>
      </c>
      <c r="G113" s="48" t="s">
        <v>125</v>
      </c>
      <c r="H113" s="48"/>
      <c r="I113" s="48"/>
      <c r="J113" s="87" t="s">
        <v>593</v>
      </c>
      <c r="K113" s="48" t="s">
        <v>633</v>
      </c>
      <c r="L113" s="48" t="s">
        <v>430</v>
      </c>
      <c r="M113" s="48"/>
      <c r="N113" s="48"/>
      <c r="O113" s="48">
        <v>65</v>
      </c>
      <c r="P113" s="48"/>
      <c r="Q113" s="48"/>
      <c r="R113" s="48"/>
      <c r="S113" s="53"/>
      <c r="T113" s="53"/>
      <c r="U113" s="53">
        <v>0.93</v>
      </c>
      <c r="V113" s="53"/>
      <c r="W113" s="53"/>
      <c r="X113" s="180"/>
      <c r="Y113" s="53"/>
      <c r="Z113" s="53"/>
      <c r="AA113" s="180"/>
      <c r="AB113" s="180">
        <v>3.9</v>
      </c>
      <c r="AC113" s="101"/>
      <c r="AD113" s="38">
        <f t="shared" si="1"/>
        <v>1</v>
      </c>
      <c r="AE113" s="102"/>
      <c r="AF113" s="102"/>
    </row>
    <row r="114" spans="1:32" s="38" customFormat="1" ht="15" customHeight="1">
      <c r="A114" s="47">
        <v>203</v>
      </c>
      <c r="B114" s="105" t="s">
        <v>527</v>
      </c>
      <c r="C114" s="48">
        <v>2011</v>
      </c>
      <c r="D114" s="105" t="s">
        <v>528</v>
      </c>
      <c r="E114" s="46" t="s">
        <v>16</v>
      </c>
      <c r="F114" s="48">
        <v>2009</v>
      </c>
      <c r="G114" s="48" t="s">
        <v>125</v>
      </c>
      <c r="H114" s="48"/>
      <c r="I114" s="48"/>
      <c r="J114" s="87" t="s">
        <v>706</v>
      </c>
      <c r="K114" s="48" t="s">
        <v>661</v>
      </c>
      <c r="L114" s="48" t="s">
        <v>434</v>
      </c>
      <c r="M114" s="48"/>
      <c r="N114" s="48"/>
      <c r="O114" s="48">
        <v>37</v>
      </c>
      <c r="P114" s="48"/>
      <c r="Q114" s="48"/>
      <c r="R114" s="48"/>
      <c r="S114" s="53"/>
      <c r="T114" s="53"/>
      <c r="U114" s="53">
        <v>0.9</v>
      </c>
      <c r="V114" s="53"/>
      <c r="W114" s="53"/>
      <c r="X114" s="180"/>
      <c r="Y114" s="53"/>
      <c r="Z114" s="53"/>
      <c r="AA114" s="180"/>
      <c r="AB114" s="180">
        <v>7.6</v>
      </c>
      <c r="AC114" s="101"/>
      <c r="AD114" s="38">
        <f t="shared" si="1"/>
        <v>1</v>
      </c>
      <c r="AE114" s="102"/>
      <c r="AF114" s="102"/>
    </row>
    <row r="115" spans="1:32" s="38" customFormat="1" ht="15" customHeight="1">
      <c r="A115" s="47">
        <v>203</v>
      </c>
      <c r="B115" s="105" t="s">
        <v>527</v>
      </c>
      <c r="C115" s="48">
        <v>2011</v>
      </c>
      <c r="D115" s="105" t="s">
        <v>528</v>
      </c>
      <c r="E115" s="46" t="s">
        <v>16</v>
      </c>
      <c r="F115" s="48">
        <v>2009</v>
      </c>
      <c r="G115" s="48" t="s">
        <v>125</v>
      </c>
      <c r="H115" s="48"/>
      <c r="I115" s="48"/>
      <c r="J115" s="87" t="s">
        <v>706</v>
      </c>
      <c r="K115" s="48" t="s">
        <v>661</v>
      </c>
      <c r="L115" s="48" t="s">
        <v>434</v>
      </c>
      <c r="M115" s="48"/>
      <c r="N115" s="48"/>
      <c r="O115" s="48">
        <v>38</v>
      </c>
      <c r="P115" s="48"/>
      <c r="Q115" s="48"/>
      <c r="R115" s="48"/>
      <c r="S115" s="53"/>
      <c r="T115" s="53"/>
      <c r="U115" s="53">
        <v>0.93</v>
      </c>
      <c r="V115" s="53"/>
      <c r="W115" s="53"/>
      <c r="X115" s="180"/>
      <c r="Y115" s="53"/>
      <c r="Z115" s="53"/>
      <c r="AA115" s="180"/>
      <c r="AB115" s="180">
        <v>3</v>
      </c>
      <c r="AC115" s="101"/>
      <c r="AD115" s="38">
        <f t="shared" si="1"/>
        <v>1</v>
      </c>
      <c r="AE115" s="102"/>
      <c r="AF115" s="102"/>
    </row>
    <row r="116" spans="1:32" s="38" customFormat="1" ht="15" customHeight="1">
      <c r="A116" s="47">
        <v>203</v>
      </c>
      <c r="B116" s="105" t="s">
        <v>527</v>
      </c>
      <c r="C116" s="48">
        <v>2011</v>
      </c>
      <c r="D116" s="105" t="s">
        <v>528</v>
      </c>
      <c r="E116" s="46" t="s">
        <v>16</v>
      </c>
      <c r="F116" s="48">
        <v>2009</v>
      </c>
      <c r="G116" s="48" t="s">
        <v>125</v>
      </c>
      <c r="H116" s="48"/>
      <c r="I116" s="48"/>
      <c r="J116" s="87" t="s">
        <v>706</v>
      </c>
      <c r="K116" s="48" t="s">
        <v>661</v>
      </c>
      <c r="L116" s="48" t="s">
        <v>434</v>
      </c>
      <c r="M116" s="48"/>
      <c r="N116" s="48"/>
      <c r="O116" s="48">
        <v>61</v>
      </c>
      <c r="P116" s="48"/>
      <c r="Q116" s="48"/>
      <c r="R116" s="48"/>
      <c r="S116" s="53"/>
      <c r="T116" s="53"/>
      <c r="U116" s="53">
        <v>0.89</v>
      </c>
      <c r="V116" s="53"/>
      <c r="W116" s="53"/>
      <c r="X116" s="180"/>
      <c r="Y116" s="53"/>
      <c r="Z116" s="53"/>
      <c r="AA116" s="180"/>
      <c r="AB116" s="180">
        <v>3</v>
      </c>
      <c r="AC116" s="101"/>
      <c r="AD116" s="38">
        <f t="shared" si="1"/>
        <v>1</v>
      </c>
      <c r="AE116" s="102"/>
      <c r="AF116" s="102"/>
    </row>
    <row r="117" spans="1:32" s="38" customFormat="1" ht="15" customHeight="1">
      <c r="A117" s="47">
        <v>203</v>
      </c>
      <c r="B117" s="105" t="s">
        <v>527</v>
      </c>
      <c r="C117" s="48">
        <v>2011</v>
      </c>
      <c r="D117" s="105" t="s">
        <v>528</v>
      </c>
      <c r="E117" s="46" t="s">
        <v>16</v>
      </c>
      <c r="F117" s="48">
        <v>2009</v>
      </c>
      <c r="G117" s="48" t="s">
        <v>125</v>
      </c>
      <c r="H117" s="48"/>
      <c r="I117" s="48"/>
      <c r="J117" s="87" t="s">
        <v>593</v>
      </c>
      <c r="K117" s="48" t="s">
        <v>609</v>
      </c>
      <c r="L117" s="48" t="s">
        <v>533</v>
      </c>
      <c r="M117" s="48"/>
      <c r="N117" s="48"/>
      <c r="O117" s="48">
        <v>63</v>
      </c>
      <c r="P117" s="48"/>
      <c r="Q117" s="48"/>
      <c r="R117" s="48"/>
      <c r="S117" s="53"/>
      <c r="T117" s="53"/>
      <c r="U117" s="53">
        <v>0.96</v>
      </c>
      <c r="V117" s="53"/>
      <c r="W117" s="53"/>
      <c r="X117" s="180"/>
      <c r="Y117" s="53"/>
      <c r="Z117" s="53"/>
      <c r="AA117" s="180"/>
      <c r="AB117" s="180">
        <v>2.8</v>
      </c>
      <c r="AC117" s="101"/>
      <c r="AD117" s="38">
        <f t="shared" si="1"/>
        <v>1</v>
      </c>
      <c r="AE117" s="102"/>
      <c r="AF117" s="102"/>
    </row>
    <row r="118" spans="1:32" s="38" customFormat="1" ht="15" customHeight="1">
      <c r="A118" s="47">
        <v>203</v>
      </c>
      <c r="B118" s="105" t="s">
        <v>527</v>
      </c>
      <c r="C118" s="48">
        <v>2011</v>
      </c>
      <c r="D118" s="105" t="s">
        <v>528</v>
      </c>
      <c r="E118" s="46" t="s">
        <v>16</v>
      </c>
      <c r="F118" s="48">
        <v>2009</v>
      </c>
      <c r="G118" s="48" t="s">
        <v>125</v>
      </c>
      <c r="H118" s="48"/>
      <c r="I118" s="48"/>
      <c r="J118" s="87" t="s">
        <v>706</v>
      </c>
      <c r="K118" s="48" t="s">
        <v>660</v>
      </c>
      <c r="L118" s="48" t="s">
        <v>424</v>
      </c>
      <c r="M118" s="48"/>
      <c r="N118" s="48"/>
      <c r="O118" s="48">
        <v>57</v>
      </c>
      <c r="P118" s="48"/>
      <c r="Q118" s="48"/>
      <c r="R118" s="48"/>
      <c r="S118" s="53"/>
      <c r="T118" s="53"/>
      <c r="U118" s="53">
        <v>0.91</v>
      </c>
      <c r="V118" s="53"/>
      <c r="W118" s="53"/>
      <c r="X118" s="180"/>
      <c r="Y118" s="53"/>
      <c r="Z118" s="53"/>
      <c r="AA118" s="180"/>
      <c r="AB118" s="180">
        <v>1.8</v>
      </c>
      <c r="AC118" s="101"/>
      <c r="AD118" s="38">
        <f t="shared" si="1"/>
        <v>1</v>
      </c>
      <c r="AE118" s="102"/>
      <c r="AF118" s="102"/>
    </row>
    <row r="119" spans="1:32" s="38" customFormat="1">
      <c r="A119" s="47">
        <v>203</v>
      </c>
      <c r="B119" s="105" t="s">
        <v>527</v>
      </c>
      <c r="C119" s="48">
        <v>2011</v>
      </c>
      <c r="D119" s="105" t="s">
        <v>528</v>
      </c>
      <c r="E119" s="46" t="s">
        <v>16</v>
      </c>
      <c r="F119" s="48">
        <v>2009</v>
      </c>
      <c r="G119" s="48" t="s">
        <v>125</v>
      </c>
      <c r="H119" s="48"/>
      <c r="I119" s="48"/>
      <c r="J119" s="87" t="s">
        <v>704</v>
      </c>
      <c r="K119" s="48" t="s">
        <v>655</v>
      </c>
      <c r="L119" s="48" t="s">
        <v>532</v>
      </c>
      <c r="M119" s="48"/>
      <c r="N119" s="48"/>
      <c r="O119" s="48">
        <v>53</v>
      </c>
      <c r="P119" s="48"/>
      <c r="Q119" s="48"/>
      <c r="R119" s="48"/>
      <c r="S119" s="53"/>
      <c r="T119" s="53"/>
      <c r="U119" s="53">
        <v>0.93</v>
      </c>
      <c r="V119" s="53"/>
      <c r="W119" s="53"/>
      <c r="X119" s="180"/>
      <c r="Y119" s="53"/>
      <c r="Z119" s="53"/>
      <c r="AA119" s="180"/>
      <c r="AB119" s="180">
        <v>5.8</v>
      </c>
      <c r="AC119" s="101"/>
      <c r="AD119" s="38">
        <f t="shared" si="1"/>
        <v>1</v>
      </c>
      <c r="AE119" s="102"/>
      <c r="AF119" s="102"/>
    </row>
    <row r="120" spans="1:32" s="38" customFormat="1">
      <c r="A120" s="47">
        <v>203</v>
      </c>
      <c r="B120" s="105" t="s">
        <v>527</v>
      </c>
      <c r="C120" s="48">
        <v>2011</v>
      </c>
      <c r="D120" s="105" t="s">
        <v>528</v>
      </c>
      <c r="E120" s="46" t="s">
        <v>16</v>
      </c>
      <c r="F120" s="48">
        <v>2009</v>
      </c>
      <c r="G120" s="48" t="s">
        <v>125</v>
      </c>
      <c r="H120" s="48"/>
      <c r="I120" s="48"/>
      <c r="J120" s="87" t="s">
        <v>704</v>
      </c>
      <c r="K120" s="48" t="s">
        <v>655</v>
      </c>
      <c r="L120" s="48" t="s">
        <v>531</v>
      </c>
      <c r="M120" s="48"/>
      <c r="N120" s="48"/>
      <c r="O120" s="48">
        <v>49</v>
      </c>
      <c r="P120" s="48"/>
      <c r="Q120" s="48"/>
      <c r="R120" s="48"/>
      <c r="S120" s="53"/>
      <c r="T120" s="53"/>
      <c r="U120" s="53">
        <v>0.92</v>
      </c>
      <c r="V120" s="53"/>
      <c r="W120" s="53"/>
      <c r="X120" s="180"/>
      <c r="Y120" s="53"/>
      <c r="Z120" s="53"/>
      <c r="AA120" s="180"/>
      <c r="AB120" s="180">
        <v>4.5999999999999996</v>
      </c>
      <c r="AC120" s="101"/>
      <c r="AD120" s="38">
        <f t="shared" si="1"/>
        <v>1</v>
      </c>
      <c r="AE120" s="102"/>
      <c r="AF120" s="102"/>
    </row>
    <row r="121" spans="1:32" s="38" customFormat="1" ht="15" customHeight="1">
      <c r="A121" s="47">
        <v>203</v>
      </c>
      <c r="B121" s="105" t="s">
        <v>527</v>
      </c>
      <c r="C121" s="48">
        <v>2011</v>
      </c>
      <c r="D121" s="105" t="s">
        <v>528</v>
      </c>
      <c r="E121" s="46" t="s">
        <v>16</v>
      </c>
      <c r="F121" s="48">
        <v>2009</v>
      </c>
      <c r="G121" s="48" t="s">
        <v>125</v>
      </c>
      <c r="H121" s="48"/>
      <c r="I121" s="48"/>
      <c r="J121" s="87" t="s">
        <v>591</v>
      </c>
      <c r="K121" s="48" t="s">
        <v>639</v>
      </c>
      <c r="L121" s="48" t="s">
        <v>530</v>
      </c>
      <c r="M121" s="48"/>
      <c r="N121" s="48"/>
      <c r="O121" s="48">
        <v>43</v>
      </c>
      <c r="P121" s="48"/>
      <c r="Q121" s="48"/>
      <c r="R121" s="48"/>
      <c r="S121" s="53"/>
      <c r="T121" s="53"/>
      <c r="U121" s="53">
        <v>0.96</v>
      </c>
      <c r="V121" s="53"/>
      <c r="W121" s="53"/>
      <c r="X121" s="180"/>
      <c r="Y121" s="53"/>
      <c r="Z121" s="53"/>
      <c r="AA121" s="180"/>
      <c r="AB121" s="180">
        <v>3.9</v>
      </c>
      <c r="AC121" s="101"/>
      <c r="AD121" s="38">
        <f t="shared" si="1"/>
        <v>1</v>
      </c>
      <c r="AE121" s="102"/>
      <c r="AF121" s="102"/>
    </row>
    <row r="122" spans="1:32" s="38" customFormat="1" ht="15" customHeight="1">
      <c r="A122" s="47">
        <v>203</v>
      </c>
      <c r="B122" s="105" t="s">
        <v>527</v>
      </c>
      <c r="C122" s="48">
        <v>2011</v>
      </c>
      <c r="D122" s="105" t="s">
        <v>528</v>
      </c>
      <c r="E122" s="46" t="s">
        <v>16</v>
      </c>
      <c r="F122" s="48">
        <v>2009</v>
      </c>
      <c r="G122" s="48" t="s">
        <v>125</v>
      </c>
      <c r="H122" s="48"/>
      <c r="I122" s="48"/>
      <c r="J122" s="87" t="s">
        <v>604</v>
      </c>
      <c r="K122" s="48" t="s">
        <v>632</v>
      </c>
      <c r="L122" s="48" t="s">
        <v>413</v>
      </c>
      <c r="M122" s="48"/>
      <c r="N122" s="48"/>
      <c r="O122" s="48">
        <v>45</v>
      </c>
      <c r="P122" s="48"/>
      <c r="Q122" s="48"/>
      <c r="R122" s="48"/>
      <c r="S122" s="53"/>
      <c r="T122" s="53"/>
      <c r="U122" s="53">
        <v>0.95</v>
      </c>
      <c r="V122" s="53"/>
      <c r="W122" s="53"/>
      <c r="X122" s="180"/>
      <c r="Y122" s="53"/>
      <c r="Z122" s="53"/>
      <c r="AA122" s="180"/>
      <c r="AB122" s="180">
        <v>3.1</v>
      </c>
      <c r="AC122" s="101"/>
      <c r="AD122" s="38">
        <f t="shared" si="1"/>
        <v>1</v>
      </c>
      <c r="AE122" s="102"/>
      <c r="AF122" s="102"/>
    </row>
    <row r="123" spans="1:32" s="38" customFormat="1" ht="15" customHeight="1">
      <c r="A123" s="47">
        <v>203</v>
      </c>
      <c r="B123" s="105" t="s">
        <v>527</v>
      </c>
      <c r="C123" s="48">
        <v>2011</v>
      </c>
      <c r="D123" s="105" t="s">
        <v>528</v>
      </c>
      <c r="E123" s="46" t="s">
        <v>16</v>
      </c>
      <c r="F123" s="48">
        <v>2009</v>
      </c>
      <c r="G123" s="48" t="s">
        <v>125</v>
      </c>
      <c r="H123" s="48"/>
      <c r="I123" s="48"/>
      <c r="J123" s="87" t="s">
        <v>710</v>
      </c>
      <c r="K123" s="48" t="s">
        <v>677</v>
      </c>
      <c r="L123" s="48" t="s">
        <v>453</v>
      </c>
      <c r="M123" s="48"/>
      <c r="N123" s="48"/>
      <c r="O123" s="48">
        <v>55</v>
      </c>
      <c r="P123" s="48"/>
      <c r="Q123" s="48"/>
      <c r="R123" s="48"/>
      <c r="S123" s="53"/>
      <c r="T123" s="53"/>
      <c r="U123" s="53">
        <v>0.94</v>
      </c>
      <c r="V123" s="53"/>
      <c r="W123" s="53"/>
      <c r="X123" s="180"/>
      <c r="Y123" s="53"/>
      <c r="Z123" s="53"/>
      <c r="AA123" s="180"/>
      <c r="AB123" s="180">
        <v>2.2999999999999998</v>
      </c>
      <c r="AC123" s="101"/>
      <c r="AD123" s="38">
        <f t="shared" si="1"/>
        <v>1</v>
      </c>
      <c r="AE123" s="102"/>
      <c r="AF123" s="102"/>
    </row>
    <row r="124" spans="1:32" s="38" customFormat="1" ht="15" customHeight="1">
      <c r="A124" s="47">
        <v>203</v>
      </c>
      <c r="B124" s="105" t="s">
        <v>527</v>
      </c>
      <c r="C124" s="48">
        <v>2011</v>
      </c>
      <c r="D124" s="105" t="s">
        <v>528</v>
      </c>
      <c r="E124" s="46" t="s">
        <v>16</v>
      </c>
      <c r="F124" s="48">
        <v>2009</v>
      </c>
      <c r="G124" s="48" t="s">
        <v>125</v>
      </c>
      <c r="H124" s="48"/>
      <c r="I124" s="48"/>
      <c r="J124" s="87" t="s">
        <v>591</v>
      </c>
      <c r="K124" s="48" t="s">
        <v>591</v>
      </c>
      <c r="L124" s="48" t="s">
        <v>452</v>
      </c>
      <c r="M124" s="48"/>
      <c r="N124" s="48"/>
      <c r="O124" s="48">
        <v>42</v>
      </c>
      <c r="P124" s="48"/>
      <c r="Q124" s="48"/>
      <c r="R124" s="48"/>
      <c r="S124" s="53"/>
      <c r="T124" s="53"/>
      <c r="U124" s="53">
        <v>0.97</v>
      </c>
      <c r="V124" s="53"/>
      <c r="W124" s="53"/>
      <c r="X124" s="180"/>
      <c r="Y124" s="53"/>
      <c r="Z124" s="53"/>
      <c r="AA124" s="180"/>
      <c r="AB124" s="180">
        <v>3.1</v>
      </c>
      <c r="AC124" s="101"/>
      <c r="AD124" s="38">
        <f t="shared" si="1"/>
        <v>1</v>
      </c>
      <c r="AE124" s="102"/>
      <c r="AF124" s="102"/>
    </row>
    <row r="125" spans="1:32" s="38" customFormat="1" ht="15" customHeight="1">
      <c r="A125" s="47">
        <v>203</v>
      </c>
      <c r="B125" s="105" t="s">
        <v>527</v>
      </c>
      <c r="C125" s="48">
        <v>2011</v>
      </c>
      <c r="D125" s="105" t="s">
        <v>528</v>
      </c>
      <c r="E125" s="46" t="s">
        <v>16</v>
      </c>
      <c r="F125" s="48">
        <v>2009</v>
      </c>
      <c r="G125" s="48" t="s">
        <v>125</v>
      </c>
      <c r="H125" s="48"/>
      <c r="I125" s="48"/>
      <c r="J125" s="87" t="s">
        <v>591</v>
      </c>
      <c r="K125" s="48" t="s">
        <v>591</v>
      </c>
      <c r="L125" s="48" t="s">
        <v>452</v>
      </c>
      <c r="M125" s="48"/>
      <c r="N125" s="48"/>
      <c r="O125" s="48">
        <v>67</v>
      </c>
      <c r="P125" s="48"/>
      <c r="Q125" s="48"/>
      <c r="R125" s="48"/>
      <c r="S125" s="53"/>
      <c r="T125" s="53"/>
      <c r="U125" s="53">
        <v>0.97</v>
      </c>
      <c r="V125" s="53"/>
      <c r="W125" s="53"/>
      <c r="X125" s="180"/>
      <c r="Y125" s="53"/>
      <c r="Z125" s="53"/>
      <c r="AA125" s="180"/>
      <c r="AB125" s="180">
        <v>3.6</v>
      </c>
      <c r="AC125" s="101"/>
      <c r="AD125" s="38">
        <f t="shared" si="1"/>
        <v>1</v>
      </c>
      <c r="AE125" s="102"/>
      <c r="AF125" s="102"/>
    </row>
    <row r="126" spans="1:32" s="38" customFormat="1" ht="15" customHeight="1">
      <c r="A126" s="87"/>
      <c r="B126" s="87" t="s">
        <v>552</v>
      </c>
      <c r="C126" s="87">
        <v>2011</v>
      </c>
      <c r="D126" s="87"/>
      <c r="E126" s="46" t="s">
        <v>56</v>
      </c>
      <c r="F126" s="87"/>
      <c r="G126" s="87"/>
      <c r="H126" s="87" t="s">
        <v>553</v>
      </c>
      <c r="I126" s="87"/>
      <c r="J126" s="87" t="s">
        <v>703</v>
      </c>
      <c r="K126" s="48" t="s">
        <v>647</v>
      </c>
      <c r="L126" s="37" t="s">
        <v>575</v>
      </c>
      <c r="M126" s="87"/>
      <c r="N126" s="87"/>
      <c r="O126" s="87" t="s">
        <v>557</v>
      </c>
      <c r="P126" s="87"/>
      <c r="Q126" s="87"/>
      <c r="R126" s="87"/>
      <c r="S126" s="103"/>
      <c r="T126" s="103"/>
      <c r="U126" s="103">
        <v>0.90400000000000003</v>
      </c>
      <c r="V126" s="103"/>
      <c r="W126" s="103"/>
      <c r="X126" s="103"/>
      <c r="Y126" s="103"/>
      <c r="Z126" s="103"/>
      <c r="AA126" s="103">
        <v>1.89</v>
      </c>
      <c r="AB126" s="103">
        <v>1.23</v>
      </c>
      <c r="AC126" s="101"/>
      <c r="AD126" s="38">
        <f t="shared" si="1"/>
        <v>2</v>
      </c>
      <c r="AE126" s="102"/>
      <c r="AF126" s="102"/>
    </row>
    <row r="127" spans="1:32" s="38" customFormat="1" ht="15" customHeight="1">
      <c r="A127" s="87"/>
      <c r="B127" s="87" t="s">
        <v>552</v>
      </c>
      <c r="C127" s="87">
        <v>2011</v>
      </c>
      <c r="D127" s="87"/>
      <c r="E127" s="46" t="s">
        <v>56</v>
      </c>
      <c r="F127" s="87"/>
      <c r="G127" s="87"/>
      <c r="H127" s="87" t="s">
        <v>553</v>
      </c>
      <c r="I127" s="87"/>
      <c r="J127" s="87" t="s">
        <v>703</v>
      </c>
      <c r="K127" s="87" t="s">
        <v>610</v>
      </c>
      <c r="L127" s="37" t="s">
        <v>418</v>
      </c>
      <c r="M127" s="87"/>
      <c r="N127" s="87" t="s">
        <v>574</v>
      </c>
      <c r="O127" s="87" t="s">
        <v>556</v>
      </c>
      <c r="P127" s="87"/>
      <c r="Q127" s="87"/>
      <c r="R127" s="87"/>
      <c r="S127" s="103"/>
      <c r="T127" s="103"/>
      <c r="U127" s="103">
        <v>0.93500000000000005</v>
      </c>
      <c r="V127" s="103"/>
      <c r="W127" s="103"/>
      <c r="X127" s="103">
        <v>0.28000000000000003</v>
      </c>
      <c r="Y127" s="103"/>
      <c r="Z127" s="103"/>
      <c r="AA127" s="103">
        <v>1.58</v>
      </c>
      <c r="AB127" s="103">
        <v>1.25</v>
      </c>
      <c r="AC127" s="101"/>
      <c r="AD127" s="38">
        <f t="shared" si="1"/>
        <v>3</v>
      </c>
      <c r="AE127" s="102"/>
      <c r="AF127" s="102"/>
    </row>
    <row r="128" spans="1:32" s="38" customFormat="1" ht="15" customHeight="1">
      <c r="A128" s="87"/>
      <c r="B128" s="87" t="s">
        <v>552</v>
      </c>
      <c r="C128" s="87">
        <v>2011</v>
      </c>
      <c r="D128" s="87"/>
      <c r="E128" s="46" t="s">
        <v>56</v>
      </c>
      <c r="F128" s="87"/>
      <c r="G128" s="87"/>
      <c r="H128" s="87" t="s">
        <v>553</v>
      </c>
      <c r="I128" s="87"/>
      <c r="J128" s="87" t="s">
        <v>703</v>
      </c>
      <c r="K128" s="87" t="s">
        <v>610</v>
      </c>
      <c r="L128" s="37" t="s">
        <v>418</v>
      </c>
      <c r="M128" s="87"/>
      <c r="N128" s="87"/>
      <c r="O128" s="87" t="s">
        <v>554</v>
      </c>
      <c r="P128" s="87"/>
      <c r="Q128" s="87"/>
      <c r="R128" s="87"/>
      <c r="S128" s="103"/>
      <c r="T128" s="103"/>
      <c r="U128" s="103">
        <v>0.93200000000000005</v>
      </c>
      <c r="V128" s="103"/>
      <c r="W128" s="103"/>
      <c r="X128" s="103">
        <v>0.37</v>
      </c>
      <c r="Y128" s="103"/>
      <c r="Z128" s="103"/>
      <c r="AA128" s="103">
        <v>2.21</v>
      </c>
      <c r="AB128" s="103">
        <v>1.63</v>
      </c>
      <c r="AC128" s="101"/>
      <c r="AD128" s="38">
        <f t="shared" si="1"/>
        <v>3</v>
      </c>
      <c r="AE128" s="102"/>
      <c r="AF128" s="102"/>
    </row>
    <row r="129" spans="1:32" s="38" customFormat="1" ht="15" customHeight="1">
      <c r="A129" s="87"/>
      <c r="B129" s="87" t="s">
        <v>552</v>
      </c>
      <c r="C129" s="87">
        <v>2011</v>
      </c>
      <c r="D129" s="87"/>
      <c r="E129" s="46" t="s">
        <v>56</v>
      </c>
      <c r="F129" s="87"/>
      <c r="G129" s="87"/>
      <c r="H129" s="87" t="s">
        <v>553</v>
      </c>
      <c r="I129" s="87"/>
      <c r="J129" s="87" t="s">
        <v>703</v>
      </c>
      <c r="K129" s="87" t="s">
        <v>610</v>
      </c>
      <c r="L129" s="37" t="s">
        <v>418</v>
      </c>
      <c r="M129" s="87"/>
      <c r="N129" s="87" t="s">
        <v>573</v>
      </c>
      <c r="O129" s="87" t="s">
        <v>555</v>
      </c>
      <c r="P129" s="87"/>
      <c r="Q129" s="87"/>
      <c r="R129" s="87"/>
      <c r="S129" s="103"/>
      <c r="T129" s="103"/>
      <c r="U129" s="103">
        <v>0.91900000000000004</v>
      </c>
      <c r="V129" s="103"/>
      <c r="W129" s="103"/>
      <c r="X129" s="103">
        <v>0.28000000000000003</v>
      </c>
      <c r="Y129" s="103"/>
      <c r="Z129" s="103"/>
      <c r="AA129" s="103">
        <v>1.3</v>
      </c>
      <c r="AB129" s="103">
        <v>1.03</v>
      </c>
      <c r="AC129" s="101"/>
      <c r="AD129" s="38">
        <f t="shared" si="1"/>
        <v>3</v>
      </c>
      <c r="AE129" s="102"/>
      <c r="AF129" s="102"/>
    </row>
    <row r="130" spans="1:32" s="38" customFormat="1" ht="15" customHeight="1">
      <c r="A130" s="87"/>
      <c r="B130" s="87" t="s">
        <v>552</v>
      </c>
      <c r="C130" s="87">
        <v>2011</v>
      </c>
      <c r="D130" s="87"/>
      <c r="E130" s="46" t="s">
        <v>56</v>
      </c>
      <c r="F130" s="87"/>
      <c r="G130" s="87"/>
      <c r="H130" s="87" t="s">
        <v>553</v>
      </c>
      <c r="I130" s="87"/>
      <c r="J130" s="87" t="s">
        <v>703</v>
      </c>
      <c r="K130" s="87" t="s">
        <v>610</v>
      </c>
      <c r="L130" s="37" t="s">
        <v>418</v>
      </c>
      <c r="M130" s="87"/>
      <c r="N130" s="87" t="s">
        <v>577</v>
      </c>
      <c r="O130" s="87" t="s">
        <v>559</v>
      </c>
      <c r="P130" s="87"/>
      <c r="Q130" s="87"/>
      <c r="R130" s="87"/>
      <c r="S130" s="103"/>
      <c r="T130" s="103"/>
      <c r="U130" s="103">
        <v>0.93300000000000005</v>
      </c>
      <c r="V130" s="103"/>
      <c r="W130" s="103"/>
      <c r="X130" s="103">
        <v>0.23</v>
      </c>
      <c r="Y130" s="103"/>
      <c r="Z130" s="103"/>
      <c r="AA130" s="103">
        <v>1.52</v>
      </c>
      <c r="AB130" s="103">
        <v>1.17</v>
      </c>
      <c r="AC130" s="101"/>
      <c r="AD130" s="38">
        <f t="shared" si="1"/>
        <v>3</v>
      </c>
      <c r="AE130" s="102"/>
      <c r="AF130" s="102"/>
    </row>
    <row r="131" spans="1:32" s="38" customFormat="1" ht="15" customHeight="1">
      <c r="A131" s="87"/>
      <c r="B131" s="87" t="s">
        <v>552</v>
      </c>
      <c r="C131" s="87">
        <v>2011</v>
      </c>
      <c r="D131" s="87"/>
      <c r="E131" s="46" t="s">
        <v>56</v>
      </c>
      <c r="F131" s="87"/>
      <c r="G131" s="87"/>
      <c r="H131" s="87" t="s">
        <v>553</v>
      </c>
      <c r="I131" s="87"/>
      <c r="J131" s="87" t="s">
        <v>703</v>
      </c>
      <c r="K131" s="87" t="s">
        <v>610</v>
      </c>
      <c r="L131" s="37" t="s">
        <v>578</v>
      </c>
      <c r="M131" s="87"/>
      <c r="N131" s="87"/>
      <c r="O131" s="87" t="s">
        <v>560</v>
      </c>
      <c r="P131" s="87"/>
      <c r="Q131" s="87"/>
      <c r="R131" s="87"/>
      <c r="S131" s="103"/>
      <c r="T131" s="103"/>
      <c r="U131" s="103">
        <v>0.95699999999999996</v>
      </c>
      <c r="V131" s="103"/>
      <c r="W131" s="103"/>
      <c r="X131" s="103">
        <v>0.41</v>
      </c>
      <c r="Y131" s="103"/>
      <c r="Z131" s="103"/>
      <c r="AA131" s="103">
        <v>1.83</v>
      </c>
      <c r="AB131" s="103">
        <v>1.53</v>
      </c>
      <c r="AC131" s="101"/>
      <c r="AD131" s="38">
        <f t="shared" ref="AD131:AD142" si="2">COUNT(X131,AA131,AB131)</f>
        <v>3</v>
      </c>
      <c r="AE131" s="102"/>
      <c r="AF131" s="102"/>
    </row>
    <row r="132" spans="1:32" s="38" customFormat="1" ht="15" customHeight="1">
      <c r="A132" s="87"/>
      <c r="B132" s="87" t="s">
        <v>552</v>
      </c>
      <c r="C132" s="87">
        <v>2011</v>
      </c>
      <c r="D132" s="87"/>
      <c r="E132" s="46" t="s">
        <v>56</v>
      </c>
      <c r="F132" s="87"/>
      <c r="G132" s="87"/>
      <c r="H132" s="87" t="s">
        <v>553</v>
      </c>
      <c r="I132" s="87"/>
      <c r="J132" s="87" t="s">
        <v>591</v>
      </c>
      <c r="K132" s="87" t="s">
        <v>591</v>
      </c>
      <c r="L132" s="37" t="s">
        <v>576</v>
      </c>
      <c r="M132" s="87"/>
      <c r="N132" s="87"/>
      <c r="O132" s="87" t="s">
        <v>558</v>
      </c>
      <c r="P132" s="87"/>
      <c r="Q132" s="87"/>
      <c r="R132" s="87"/>
      <c r="S132" s="103"/>
      <c r="T132" s="103"/>
      <c r="U132" s="103">
        <v>0.93799999999999994</v>
      </c>
      <c r="V132" s="103"/>
      <c r="W132" s="103"/>
      <c r="X132" s="103"/>
      <c r="Y132" s="103"/>
      <c r="Z132" s="103"/>
      <c r="AA132" s="103"/>
      <c r="AB132" s="103"/>
      <c r="AC132" s="101"/>
      <c r="AD132" s="38">
        <f t="shared" si="2"/>
        <v>0</v>
      </c>
      <c r="AE132" s="102"/>
      <c r="AF132" s="102"/>
    </row>
    <row r="133" spans="1:32" s="38" customFormat="1" ht="15" customHeight="1">
      <c r="A133" s="37"/>
      <c r="B133" s="37" t="s">
        <v>563</v>
      </c>
      <c r="C133" s="106">
        <v>1996</v>
      </c>
      <c r="D133" s="107"/>
      <c r="E133" s="46" t="s">
        <v>56</v>
      </c>
      <c r="F133" s="37"/>
      <c r="G133" s="37"/>
      <c r="H133" s="37" t="s">
        <v>29</v>
      </c>
      <c r="I133" s="37"/>
      <c r="J133" s="87" t="s">
        <v>706</v>
      </c>
      <c r="K133" s="37" t="s">
        <v>701</v>
      </c>
      <c r="L133" s="37" t="s">
        <v>571</v>
      </c>
      <c r="M133" s="37"/>
      <c r="N133" s="37"/>
      <c r="O133" s="37" t="s">
        <v>567</v>
      </c>
      <c r="P133" s="37"/>
      <c r="Q133" s="37"/>
      <c r="R133" s="37"/>
      <c r="S133" s="41"/>
      <c r="T133" s="41"/>
      <c r="U133" s="41">
        <v>0.9</v>
      </c>
      <c r="V133" s="41">
        <f>1.82/2</f>
        <v>0.91</v>
      </c>
      <c r="W133" s="41"/>
      <c r="X133" s="103"/>
      <c r="Y133" s="87"/>
      <c r="Z133" s="41"/>
      <c r="AA133" s="186"/>
      <c r="AB133" s="188">
        <f>6.7*46/14/2</f>
        <v>11.007142857142856</v>
      </c>
      <c r="AC133" s="101"/>
      <c r="AD133" s="38">
        <f t="shared" si="2"/>
        <v>1</v>
      </c>
      <c r="AE133" s="102"/>
      <c r="AF133" s="102"/>
    </row>
    <row r="134" spans="1:32" s="38" customFormat="1" ht="15" customHeight="1">
      <c r="A134" s="37"/>
      <c r="B134" s="37" t="s">
        <v>563</v>
      </c>
      <c r="C134" s="106">
        <v>1996</v>
      </c>
      <c r="D134" s="107"/>
      <c r="E134" s="46" t="s">
        <v>56</v>
      </c>
      <c r="F134" s="37"/>
      <c r="G134" s="37"/>
      <c r="H134" s="37" t="s">
        <v>564</v>
      </c>
      <c r="I134" s="37"/>
      <c r="J134" s="87" t="s">
        <v>706</v>
      </c>
      <c r="K134" s="37" t="s">
        <v>701</v>
      </c>
      <c r="L134" s="37" t="s">
        <v>571</v>
      </c>
      <c r="M134" s="37"/>
      <c r="N134" s="37"/>
      <c r="O134" s="37" t="s">
        <v>568</v>
      </c>
      <c r="P134" s="37"/>
      <c r="Q134" s="37"/>
      <c r="R134" s="37"/>
      <c r="S134" s="41"/>
      <c r="T134" s="41"/>
      <c r="U134" s="41"/>
      <c r="V134" s="41">
        <f>0.65/2</f>
        <v>0.32500000000000001</v>
      </c>
      <c r="W134" s="41"/>
      <c r="X134" s="103"/>
      <c r="Y134" s="87"/>
      <c r="Z134" s="41"/>
      <c r="AA134" s="186"/>
      <c r="AB134" s="188">
        <f>3.4*46/14/2</f>
        <v>5.5857142857142863</v>
      </c>
      <c r="AC134" s="101"/>
      <c r="AD134" s="38">
        <f t="shared" si="2"/>
        <v>1</v>
      </c>
      <c r="AE134" s="102"/>
      <c r="AF134" s="102"/>
    </row>
    <row r="135" spans="1:32" s="38" customFormat="1" ht="15" customHeight="1">
      <c r="A135" s="37"/>
      <c r="B135" s="37" t="s">
        <v>563</v>
      </c>
      <c r="C135" s="106">
        <v>1996</v>
      </c>
      <c r="D135" s="107"/>
      <c r="E135" s="46" t="s">
        <v>56</v>
      </c>
      <c r="F135" s="37"/>
      <c r="G135" s="37"/>
      <c r="H135" s="37" t="s">
        <v>564</v>
      </c>
      <c r="I135" s="37"/>
      <c r="J135" s="87" t="s">
        <v>706</v>
      </c>
      <c r="K135" s="37" t="s">
        <v>662</v>
      </c>
      <c r="L135" s="37" t="s">
        <v>565</v>
      </c>
      <c r="M135" s="37"/>
      <c r="N135" s="37"/>
      <c r="O135" s="37" t="s">
        <v>566</v>
      </c>
      <c r="P135" s="37"/>
      <c r="Q135" s="37"/>
      <c r="R135" s="37"/>
      <c r="S135" s="41"/>
      <c r="T135" s="41"/>
      <c r="U135" s="41"/>
      <c r="V135" s="41">
        <f>0.85/2</f>
        <v>0.42499999999999999</v>
      </c>
      <c r="W135" s="41"/>
      <c r="X135" s="103"/>
      <c r="Y135" s="87"/>
      <c r="Z135" s="41"/>
      <c r="AA135" s="186"/>
      <c r="AB135" s="188">
        <f>3.8*46/14/2</f>
        <v>6.242857142857142</v>
      </c>
      <c r="AC135" s="101"/>
      <c r="AD135" s="38">
        <f t="shared" si="2"/>
        <v>1</v>
      </c>
      <c r="AE135" s="102"/>
      <c r="AF135" s="102"/>
    </row>
    <row r="136" spans="1:32" s="38" customFormat="1" ht="15" customHeight="1">
      <c r="A136" s="87"/>
      <c r="B136" s="37" t="s">
        <v>563</v>
      </c>
      <c r="C136" s="106">
        <v>1996</v>
      </c>
      <c r="D136" s="87"/>
      <c r="E136" s="46" t="s">
        <v>56</v>
      </c>
      <c r="F136" s="87"/>
      <c r="G136" s="87"/>
      <c r="H136" s="87" t="s">
        <v>570</v>
      </c>
      <c r="I136" s="87" t="s">
        <v>590</v>
      </c>
      <c r="J136" s="87" t="s">
        <v>706</v>
      </c>
      <c r="K136" s="48"/>
      <c r="L136" s="87"/>
      <c r="M136" s="87"/>
      <c r="N136" s="87"/>
      <c r="O136" s="37" t="s">
        <v>569</v>
      </c>
      <c r="P136" s="87"/>
      <c r="Q136" s="87"/>
      <c r="R136" s="87"/>
      <c r="S136" s="103"/>
      <c r="T136" s="103"/>
      <c r="U136" s="103">
        <v>0.81</v>
      </c>
      <c r="V136" s="103"/>
      <c r="W136" s="41">
        <f>0.56/2</f>
        <v>0.28000000000000003</v>
      </c>
      <c r="X136" s="103"/>
      <c r="Y136" s="103"/>
      <c r="Z136" s="87"/>
      <c r="AA136" s="103"/>
      <c r="AB136" s="188">
        <f>1.29*46/14/2</f>
        <v>2.1192857142857142</v>
      </c>
      <c r="AC136" s="101"/>
      <c r="AD136" s="38">
        <f t="shared" si="2"/>
        <v>1</v>
      </c>
      <c r="AE136" s="102"/>
      <c r="AF136" s="102"/>
    </row>
    <row r="137" spans="1:32" s="38" customFormat="1" ht="15" customHeight="1">
      <c r="A137" s="37"/>
      <c r="B137" s="37" t="s">
        <v>537</v>
      </c>
      <c r="C137" s="106">
        <v>1993</v>
      </c>
      <c r="D137" s="107"/>
      <c r="E137" s="46" t="s">
        <v>56</v>
      </c>
      <c r="F137" s="37"/>
      <c r="G137" s="37"/>
      <c r="H137" s="37" t="s">
        <v>116</v>
      </c>
      <c r="I137" s="37" t="s">
        <v>590</v>
      </c>
      <c r="J137" s="87" t="s">
        <v>710</v>
      </c>
      <c r="K137" s="37" t="s">
        <v>638</v>
      </c>
      <c r="L137" s="37" t="s">
        <v>446</v>
      </c>
      <c r="M137" s="37"/>
      <c r="N137" s="37"/>
      <c r="O137" s="37" t="s">
        <v>572</v>
      </c>
      <c r="P137" s="37"/>
      <c r="Q137" s="37"/>
      <c r="R137" s="37"/>
      <c r="S137" s="41"/>
      <c r="T137" s="41"/>
      <c r="U137" s="41"/>
      <c r="V137" s="41"/>
      <c r="W137" s="41"/>
      <c r="X137" s="186"/>
      <c r="Y137" s="41"/>
      <c r="Z137" s="41"/>
      <c r="AA137" s="186"/>
      <c r="AB137" s="186">
        <v>1.5</v>
      </c>
      <c r="AC137" s="101"/>
      <c r="AD137" s="38">
        <f t="shared" si="2"/>
        <v>1</v>
      </c>
      <c r="AE137" s="102"/>
      <c r="AF137" s="102"/>
    </row>
    <row r="138" spans="1:32" s="38" customFormat="1" ht="15" customHeight="1">
      <c r="A138" s="87"/>
      <c r="B138" s="87" t="s">
        <v>549</v>
      </c>
      <c r="C138" s="87">
        <v>2011</v>
      </c>
      <c r="D138" s="87" t="s">
        <v>551</v>
      </c>
      <c r="E138" s="46" t="s">
        <v>56</v>
      </c>
      <c r="F138" s="87">
        <v>2008</v>
      </c>
      <c r="G138" s="87"/>
      <c r="H138" s="87" t="s">
        <v>550</v>
      </c>
      <c r="I138" s="87"/>
      <c r="J138" s="87" t="s">
        <v>710</v>
      </c>
      <c r="K138" s="48" t="s">
        <v>438</v>
      </c>
      <c r="L138" s="87" t="s">
        <v>215</v>
      </c>
      <c r="M138" s="87"/>
      <c r="N138" s="87"/>
      <c r="O138" s="87"/>
      <c r="P138" s="87"/>
      <c r="Q138" s="87"/>
      <c r="R138" s="87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1"/>
      <c r="AD138" s="38">
        <f t="shared" si="2"/>
        <v>0</v>
      </c>
      <c r="AE138" s="102"/>
      <c r="AF138" s="102"/>
    </row>
    <row r="139" spans="1:32" s="38" customFormat="1" ht="15" customHeight="1">
      <c r="A139" s="37"/>
      <c r="B139" s="48" t="s">
        <v>540</v>
      </c>
      <c r="C139" s="48">
        <v>2013</v>
      </c>
      <c r="D139" s="74" t="s">
        <v>541</v>
      </c>
      <c r="E139" s="46" t="s">
        <v>24</v>
      </c>
      <c r="F139" s="50"/>
      <c r="G139" s="48"/>
      <c r="H139" s="48" t="s">
        <v>20</v>
      </c>
      <c r="I139" s="48"/>
      <c r="J139" s="87" t="s">
        <v>703</v>
      </c>
      <c r="K139" s="70" t="s">
        <v>648</v>
      </c>
      <c r="L139" s="48" t="s">
        <v>543</v>
      </c>
      <c r="M139" s="37"/>
      <c r="N139" s="37"/>
      <c r="O139" s="37"/>
      <c r="P139" s="37"/>
      <c r="Q139" s="37"/>
      <c r="R139" s="37"/>
      <c r="S139" s="41">
        <v>0.97</v>
      </c>
      <c r="T139" s="41"/>
      <c r="U139" s="41">
        <f>+S139</f>
        <v>0.97</v>
      </c>
      <c r="V139" s="41">
        <v>0.91</v>
      </c>
      <c r="W139" s="41"/>
      <c r="X139" s="186">
        <f>+V139</f>
        <v>0.91</v>
      </c>
      <c r="Y139" s="41"/>
      <c r="Z139" s="41"/>
      <c r="AA139" s="186"/>
      <c r="AB139" s="186">
        <v>4.8</v>
      </c>
      <c r="AC139" s="101"/>
      <c r="AD139" s="38">
        <f t="shared" si="2"/>
        <v>2</v>
      </c>
      <c r="AE139" s="102"/>
      <c r="AF139" s="102"/>
    </row>
    <row r="140" spans="1:32" s="38" customFormat="1" ht="15" customHeight="1">
      <c r="A140" s="37"/>
      <c r="B140" s="48" t="s">
        <v>540</v>
      </c>
      <c r="C140" s="48">
        <v>2013</v>
      </c>
      <c r="D140" s="74" t="s">
        <v>541</v>
      </c>
      <c r="E140" s="46" t="s">
        <v>24</v>
      </c>
      <c r="F140" s="50"/>
      <c r="G140" s="48"/>
      <c r="H140" s="48" t="s">
        <v>20</v>
      </c>
      <c r="I140" s="48"/>
      <c r="J140" s="87" t="s">
        <v>703</v>
      </c>
      <c r="K140" s="70" t="s">
        <v>648</v>
      </c>
      <c r="L140" s="48" t="s">
        <v>543</v>
      </c>
      <c r="M140" s="37"/>
      <c r="N140" s="37"/>
      <c r="O140" s="37"/>
      <c r="P140" s="37"/>
      <c r="Q140" s="37"/>
      <c r="R140" s="37"/>
      <c r="S140" s="41"/>
      <c r="T140" s="41">
        <v>0.76</v>
      </c>
      <c r="U140" s="41">
        <f>+T140</f>
        <v>0.76</v>
      </c>
      <c r="V140" s="41"/>
      <c r="W140" s="41">
        <v>0.76</v>
      </c>
      <c r="X140" s="186">
        <f>+W140</f>
        <v>0.76</v>
      </c>
      <c r="Y140" s="41"/>
      <c r="Z140" s="41"/>
      <c r="AA140" s="186"/>
      <c r="AB140" s="186">
        <v>1.77</v>
      </c>
      <c r="AC140" s="101"/>
      <c r="AD140" s="38">
        <f t="shared" si="2"/>
        <v>2</v>
      </c>
      <c r="AE140" s="102"/>
      <c r="AF140" s="102"/>
    </row>
    <row r="141" spans="1:32" s="38" customFormat="1" ht="15" customHeight="1">
      <c r="A141" s="37"/>
      <c r="B141" s="48" t="s">
        <v>540</v>
      </c>
      <c r="C141" s="48">
        <v>2013</v>
      </c>
      <c r="D141" s="74" t="s">
        <v>541</v>
      </c>
      <c r="E141" s="46" t="s">
        <v>24</v>
      </c>
      <c r="F141" s="50"/>
      <c r="G141" s="48"/>
      <c r="H141" s="48" t="s">
        <v>20</v>
      </c>
      <c r="I141" s="48"/>
      <c r="J141" s="87" t="s">
        <v>703</v>
      </c>
      <c r="K141" s="70" t="s">
        <v>648</v>
      </c>
      <c r="L141" s="48" t="s">
        <v>543</v>
      </c>
      <c r="M141" s="37"/>
      <c r="N141" s="37"/>
      <c r="O141" s="37"/>
      <c r="P141" s="37"/>
      <c r="Q141" s="37"/>
      <c r="R141" s="37"/>
      <c r="S141" s="41">
        <v>0.99</v>
      </c>
      <c r="T141" s="41"/>
      <c r="U141" s="41">
        <f>+S141</f>
        <v>0.99</v>
      </c>
      <c r="V141" s="41">
        <v>0.4</v>
      </c>
      <c r="W141" s="41"/>
      <c r="X141" s="186">
        <f>+V141</f>
        <v>0.4</v>
      </c>
      <c r="Y141" s="41"/>
      <c r="Z141" s="41"/>
      <c r="AA141" s="186"/>
      <c r="AB141" s="186">
        <v>1.51</v>
      </c>
      <c r="AC141" s="101"/>
      <c r="AD141" s="38">
        <f t="shared" si="2"/>
        <v>2</v>
      </c>
      <c r="AE141" s="102"/>
      <c r="AF141" s="102"/>
    </row>
    <row r="142" spans="1:32" s="38" customFormat="1" ht="15" customHeight="1">
      <c r="A142" s="37"/>
      <c r="B142" s="48" t="s">
        <v>540</v>
      </c>
      <c r="C142" s="48">
        <v>2013</v>
      </c>
      <c r="D142" s="74" t="s">
        <v>541</v>
      </c>
      <c r="E142" s="46" t="s">
        <v>24</v>
      </c>
      <c r="F142" s="50"/>
      <c r="G142" s="48"/>
      <c r="H142" s="48" t="s">
        <v>20</v>
      </c>
      <c r="I142" s="48"/>
      <c r="J142" s="87" t="s">
        <v>703</v>
      </c>
      <c r="K142" s="70" t="s">
        <v>648</v>
      </c>
      <c r="L142" s="48" t="s">
        <v>543</v>
      </c>
      <c r="M142" s="37"/>
      <c r="N142" s="37"/>
      <c r="O142" s="37"/>
      <c r="P142" s="37"/>
      <c r="Q142" s="37"/>
      <c r="R142" s="37"/>
      <c r="S142" s="41"/>
      <c r="T142" s="41">
        <v>0.82</v>
      </c>
      <c r="U142" s="41">
        <f>+T142</f>
        <v>0.82</v>
      </c>
      <c r="V142" s="41"/>
      <c r="W142" s="41">
        <v>0.27</v>
      </c>
      <c r="X142" s="186">
        <f>+W142</f>
        <v>0.27</v>
      </c>
      <c r="Y142" s="41"/>
      <c r="Z142" s="41"/>
      <c r="AA142" s="186"/>
      <c r="AB142" s="186">
        <v>1.2</v>
      </c>
      <c r="AC142" s="101"/>
      <c r="AD142" s="38">
        <f t="shared" si="2"/>
        <v>2</v>
      </c>
      <c r="AE142" s="102"/>
      <c r="AF142" s="102"/>
    </row>
    <row r="143" spans="1:32" s="38" customFormat="1" ht="15" customHeight="1">
      <c r="A143" s="47"/>
      <c r="B143" s="49"/>
      <c r="C143" s="48"/>
      <c r="D143" s="105"/>
      <c r="E143" s="46"/>
      <c r="F143" s="48"/>
      <c r="G143" s="48"/>
      <c r="H143" s="48"/>
      <c r="I143" s="48"/>
      <c r="J143" s="87"/>
      <c r="K143" s="48"/>
      <c r="L143" s="48"/>
      <c r="M143" s="48"/>
      <c r="N143" s="48"/>
      <c r="O143" s="48"/>
      <c r="P143" s="48"/>
      <c r="Q143" s="48"/>
      <c r="R143" s="48"/>
      <c r="S143" s="53"/>
      <c r="T143" s="53"/>
      <c r="U143" s="53"/>
      <c r="V143" s="53"/>
      <c r="W143" s="53"/>
      <c r="X143" s="180"/>
      <c r="Y143" s="53"/>
      <c r="Z143" s="53"/>
      <c r="AA143" s="180"/>
      <c r="AB143" s="182"/>
      <c r="AC143" s="101"/>
      <c r="AE143" s="102"/>
      <c r="AF143" s="102"/>
    </row>
    <row r="144" spans="1:32" s="38" customFormat="1" ht="15" customHeight="1">
      <c r="A144" s="47"/>
      <c r="B144" s="49"/>
      <c r="C144" s="48"/>
      <c r="D144" s="105"/>
      <c r="E144" s="46"/>
      <c r="F144" s="48"/>
      <c r="G144" s="48"/>
      <c r="H144" s="48"/>
      <c r="I144" s="48"/>
      <c r="J144" s="87"/>
      <c r="K144" s="48"/>
      <c r="L144" s="48"/>
      <c r="M144" s="48"/>
      <c r="N144" s="48"/>
      <c r="O144" s="48"/>
      <c r="P144" s="48"/>
      <c r="Q144" s="48"/>
      <c r="R144" s="48"/>
      <c r="S144" s="53"/>
      <c r="T144" s="53"/>
      <c r="U144" s="53"/>
      <c r="V144" s="53"/>
      <c r="W144" s="53"/>
      <c r="X144" s="180"/>
      <c r="Y144" s="53"/>
      <c r="Z144" s="53"/>
      <c r="AA144" s="180"/>
      <c r="AB144" s="182"/>
      <c r="AC144" s="101"/>
      <c r="AE144" s="102"/>
      <c r="AF144" s="102"/>
    </row>
    <row r="145" spans="1:32" s="38" customFormat="1" ht="15" customHeight="1">
      <c r="A145" s="96" t="s">
        <v>788</v>
      </c>
      <c r="B145" s="49"/>
      <c r="C145" s="48"/>
      <c r="D145" s="105"/>
      <c r="E145" s="46"/>
      <c r="F145" s="48"/>
      <c r="G145" s="48"/>
      <c r="H145" s="48"/>
      <c r="I145" s="48"/>
      <c r="J145" s="87"/>
      <c r="K145" s="48"/>
      <c r="L145" s="48"/>
      <c r="M145" s="48"/>
      <c r="N145" s="48"/>
      <c r="O145" s="48"/>
      <c r="P145" s="48"/>
      <c r="Q145" s="48"/>
      <c r="R145" s="48"/>
      <c r="S145" s="53"/>
      <c r="T145" s="53"/>
      <c r="U145" s="53"/>
      <c r="V145" s="53"/>
      <c r="W145" s="53"/>
      <c r="X145" s="180"/>
      <c r="Y145" s="53"/>
      <c r="Z145" s="53"/>
      <c r="AA145" s="180"/>
      <c r="AB145" s="182"/>
      <c r="AC145" s="101"/>
      <c r="AE145" s="102"/>
      <c r="AF145" s="102"/>
    </row>
    <row r="146" spans="1:32" s="38" customFormat="1" ht="15" customHeight="1">
      <c r="A146" s="47">
        <v>197</v>
      </c>
      <c r="B146" s="105" t="s">
        <v>466</v>
      </c>
      <c r="C146" s="48">
        <v>2007</v>
      </c>
      <c r="D146" s="105" t="s">
        <v>513</v>
      </c>
      <c r="E146" s="46" t="s">
        <v>16</v>
      </c>
      <c r="F146" s="48">
        <v>2003</v>
      </c>
      <c r="G146" s="48" t="s">
        <v>125</v>
      </c>
      <c r="H146" s="48" t="s">
        <v>49</v>
      </c>
      <c r="I146" s="48"/>
      <c r="J146" s="87"/>
      <c r="K146" s="48" t="s">
        <v>608</v>
      </c>
      <c r="L146" s="48" t="s">
        <v>510</v>
      </c>
      <c r="M146" s="48"/>
      <c r="N146" s="48"/>
      <c r="O146" s="48" t="s">
        <v>519</v>
      </c>
      <c r="P146" s="48">
        <v>0.98</v>
      </c>
      <c r="Q146" s="48">
        <v>0.82</v>
      </c>
      <c r="R146" s="48">
        <v>0.97</v>
      </c>
      <c r="S146" s="53">
        <v>0.99</v>
      </c>
      <c r="T146" s="53">
        <v>0.86</v>
      </c>
      <c r="U146" s="53">
        <v>0.98</v>
      </c>
      <c r="V146" s="53">
        <v>0.8</v>
      </c>
      <c r="W146" s="53">
        <v>5</v>
      </c>
      <c r="X146" s="180">
        <v>0.9</v>
      </c>
      <c r="Y146" s="53">
        <v>0.1</v>
      </c>
      <c r="Z146" s="53">
        <v>2.2000000000000002</v>
      </c>
      <c r="AA146" s="180">
        <v>0.2</v>
      </c>
      <c r="AB146" s="180"/>
      <c r="AC146" s="101"/>
      <c r="AE146" s="102"/>
      <c r="AF146" s="102"/>
    </row>
    <row r="147" spans="1:32" s="38" customFormat="1" ht="15" customHeight="1">
      <c r="A147" s="47">
        <v>197</v>
      </c>
      <c r="B147" s="105" t="s">
        <v>466</v>
      </c>
      <c r="C147" s="48">
        <v>2007</v>
      </c>
      <c r="D147" s="105" t="s">
        <v>513</v>
      </c>
      <c r="E147" s="46" t="s">
        <v>16</v>
      </c>
      <c r="F147" s="48">
        <v>2003</v>
      </c>
      <c r="G147" s="48" t="s">
        <v>125</v>
      </c>
      <c r="H147" s="48" t="s">
        <v>49</v>
      </c>
      <c r="I147" s="48"/>
      <c r="J147" s="87"/>
      <c r="K147" s="48" t="s">
        <v>625</v>
      </c>
      <c r="L147" s="48" t="s">
        <v>520</v>
      </c>
      <c r="M147" s="48"/>
      <c r="N147" s="48"/>
      <c r="O147" s="48" t="s">
        <v>521</v>
      </c>
      <c r="P147" s="48">
        <v>0.98</v>
      </c>
      <c r="Q147" s="48">
        <v>0.88</v>
      </c>
      <c r="R147" s="48">
        <v>0.97</v>
      </c>
      <c r="S147" s="53">
        <v>0.98</v>
      </c>
      <c r="T147" s="53">
        <v>0.88</v>
      </c>
      <c r="U147" s="53">
        <v>0.98</v>
      </c>
      <c r="V147" s="53">
        <v>1.7</v>
      </c>
      <c r="W147" s="53">
        <v>0.4</v>
      </c>
      <c r="X147" s="180">
        <v>1.7</v>
      </c>
      <c r="Y147" s="53">
        <v>0.8</v>
      </c>
      <c r="Z147" s="53">
        <v>0.4</v>
      </c>
      <c r="AA147" s="180">
        <v>0.8</v>
      </c>
      <c r="AB147" s="180"/>
      <c r="AC147" s="101"/>
      <c r="AE147" s="102"/>
      <c r="AF147" s="102"/>
    </row>
    <row r="148" spans="1:32" s="38" customFormat="1" ht="15" customHeight="1">
      <c r="A148" s="47">
        <v>144</v>
      </c>
      <c r="B148" s="74" t="s">
        <v>36</v>
      </c>
      <c r="C148" s="52">
        <v>1980</v>
      </c>
      <c r="D148" s="74" t="s">
        <v>287</v>
      </c>
      <c r="E148" s="46" t="s">
        <v>16</v>
      </c>
      <c r="F148" s="48"/>
      <c r="G148" s="48"/>
      <c r="H148" s="48"/>
      <c r="I148" s="48"/>
      <c r="J148" s="87"/>
      <c r="K148" s="48" t="s">
        <v>628</v>
      </c>
      <c r="L148" s="70" t="s">
        <v>300</v>
      </c>
      <c r="M148" s="48"/>
      <c r="N148" s="48"/>
      <c r="O148" s="48"/>
      <c r="P148" s="48"/>
      <c r="Q148" s="48"/>
      <c r="R148" s="48"/>
      <c r="S148" s="53"/>
      <c r="T148" s="53"/>
      <c r="U148" s="53"/>
      <c r="V148" s="53"/>
      <c r="W148" s="53"/>
      <c r="X148" s="180">
        <v>32.520000000000003</v>
      </c>
      <c r="Y148" s="53"/>
      <c r="Z148" s="53"/>
      <c r="AA148" s="180">
        <v>7.32</v>
      </c>
      <c r="AB148" s="180">
        <v>16.5</v>
      </c>
      <c r="AC148" s="101"/>
      <c r="AE148" s="102"/>
      <c r="AF148" s="102"/>
    </row>
    <row r="149" spans="1:32" s="38" customFormat="1" ht="15" customHeight="1">
      <c r="A149" s="47">
        <v>197</v>
      </c>
      <c r="B149" s="105" t="s">
        <v>466</v>
      </c>
      <c r="C149" s="48">
        <v>2007</v>
      </c>
      <c r="D149" s="105" t="s">
        <v>513</v>
      </c>
      <c r="E149" s="46" t="s">
        <v>16</v>
      </c>
      <c r="F149" s="48">
        <v>2003</v>
      </c>
      <c r="G149" s="48" t="s">
        <v>125</v>
      </c>
      <c r="H149" s="48" t="s">
        <v>49</v>
      </c>
      <c r="I149" s="48"/>
      <c r="J149" s="87"/>
      <c r="K149" s="48" t="s">
        <v>525</v>
      </c>
      <c r="L149" s="48" t="s">
        <v>525</v>
      </c>
      <c r="M149" s="48"/>
      <c r="N149" s="48"/>
      <c r="O149" s="48" t="s">
        <v>526</v>
      </c>
      <c r="P149" s="48">
        <v>0.97</v>
      </c>
      <c r="Q149" s="48"/>
      <c r="R149" s="48"/>
      <c r="S149" s="53">
        <v>1</v>
      </c>
      <c r="T149" s="53"/>
      <c r="U149" s="53"/>
      <c r="V149" s="53">
        <v>0.4</v>
      </c>
      <c r="W149" s="53"/>
      <c r="X149" s="180"/>
      <c r="Y149" s="53">
        <v>2.6</v>
      </c>
      <c r="Z149" s="53"/>
      <c r="AA149" s="180"/>
      <c r="AB149" s="180"/>
      <c r="AC149" s="101"/>
      <c r="AE149" s="102"/>
      <c r="AF149" s="102"/>
    </row>
    <row r="150" spans="1:32" s="38" customFormat="1" ht="15" customHeight="1">
      <c r="A150" s="47">
        <v>144</v>
      </c>
      <c r="B150" s="74" t="s">
        <v>36</v>
      </c>
      <c r="C150" s="52">
        <v>1980</v>
      </c>
      <c r="D150" s="74" t="s">
        <v>287</v>
      </c>
      <c r="E150" s="46" t="s">
        <v>16</v>
      </c>
      <c r="F150" s="48"/>
      <c r="G150" s="48"/>
      <c r="H150" s="48"/>
      <c r="I150" s="48"/>
      <c r="J150" s="87"/>
      <c r="K150" s="48" t="s">
        <v>37</v>
      </c>
      <c r="L150" s="70" t="s">
        <v>295</v>
      </c>
      <c r="M150" s="48"/>
      <c r="N150" s="48"/>
      <c r="O150" s="48"/>
      <c r="P150" s="48"/>
      <c r="Q150" s="48"/>
      <c r="R150" s="48"/>
      <c r="S150" s="53"/>
      <c r="T150" s="53"/>
      <c r="U150" s="53"/>
      <c r="V150" s="53"/>
      <c r="W150" s="53"/>
      <c r="X150" s="180">
        <v>8.1199999999999992</v>
      </c>
      <c r="Y150" s="53"/>
      <c r="Z150" s="53"/>
      <c r="AA150" s="180">
        <v>0.61</v>
      </c>
      <c r="AB150" s="180">
        <v>4.91</v>
      </c>
      <c r="AC150" s="101"/>
      <c r="AE150" s="102"/>
      <c r="AF150" s="102"/>
    </row>
    <row r="151" spans="1:32" ht="15" customHeight="1">
      <c r="A151" s="47">
        <v>174</v>
      </c>
      <c r="B151" s="48" t="s">
        <v>407</v>
      </c>
      <c r="C151" s="48">
        <v>2009</v>
      </c>
      <c r="D151" s="63" t="s">
        <v>408</v>
      </c>
      <c r="E151" s="46" t="s">
        <v>16</v>
      </c>
      <c r="F151" s="50" t="s">
        <v>410</v>
      </c>
      <c r="G151" s="48"/>
      <c r="H151" s="48"/>
      <c r="I151" s="48"/>
      <c r="J151" s="86"/>
      <c r="K151" s="48" t="s">
        <v>599</v>
      </c>
      <c r="L151" s="48" t="s">
        <v>461</v>
      </c>
      <c r="M151" s="56"/>
      <c r="N151" s="56"/>
      <c r="O151" s="48" t="s">
        <v>461</v>
      </c>
      <c r="P151" s="52"/>
      <c r="Q151" s="52"/>
      <c r="R151" s="48"/>
      <c r="S151" s="53"/>
      <c r="T151" s="53"/>
      <c r="U151" s="54">
        <v>0.96099999999999997</v>
      </c>
      <c r="V151" s="53"/>
      <c r="W151" s="53"/>
      <c r="X151" s="185">
        <v>3.9</v>
      </c>
      <c r="Y151" s="53"/>
      <c r="Z151" s="53"/>
      <c r="AA151" s="185"/>
      <c r="AB151" s="180"/>
      <c r="AD151" s="38"/>
    </row>
    <row r="152" spans="1:32" ht="15" customHeight="1">
      <c r="A152" s="47">
        <v>197</v>
      </c>
      <c r="B152" s="64" t="s">
        <v>466</v>
      </c>
      <c r="C152" s="65">
        <v>2007</v>
      </c>
      <c r="D152" s="64" t="s">
        <v>513</v>
      </c>
      <c r="E152" s="46" t="s">
        <v>16</v>
      </c>
      <c r="F152" s="48">
        <v>2003</v>
      </c>
      <c r="G152" s="48" t="s">
        <v>125</v>
      </c>
      <c r="H152" s="48" t="s">
        <v>49</v>
      </c>
      <c r="I152" s="48"/>
      <c r="J152" s="86"/>
      <c r="K152" s="48" t="s">
        <v>601</v>
      </c>
      <c r="L152" s="48" t="s">
        <v>511</v>
      </c>
      <c r="M152" s="48"/>
      <c r="N152" s="48"/>
      <c r="O152" s="48" t="s">
        <v>512</v>
      </c>
      <c r="P152" s="48">
        <v>0.96</v>
      </c>
      <c r="Q152" s="48">
        <v>0.76</v>
      </c>
      <c r="R152" s="48"/>
      <c r="S152" s="53"/>
      <c r="T152" s="53">
        <v>0.87</v>
      </c>
      <c r="U152" s="53"/>
      <c r="V152" s="53"/>
      <c r="W152" s="53">
        <v>2</v>
      </c>
      <c r="X152" s="180"/>
      <c r="Y152" s="53"/>
      <c r="Z152" s="53">
        <v>1.1000000000000001</v>
      </c>
      <c r="AA152" s="180"/>
      <c r="AB152" s="180"/>
      <c r="AD152" s="38"/>
    </row>
    <row r="153" spans="1:32" ht="15" customHeight="1">
      <c r="A153" s="47">
        <v>182</v>
      </c>
      <c r="B153" s="49" t="s">
        <v>466</v>
      </c>
      <c r="C153" s="65">
        <v>2010</v>
      </c>
      <c r="D153" s="64" t="s">
        <v>467</v>
      </c>
      <c r="E153" s="46" t="s">
        <v>16</v>
      </c>
      <c r="F153" s="48">
        <v>2008</v>
      </c>
      <c r="G153" s="48" t="s">
        <v>469</v>
      </c>
      <c r="H153" s="48" t="s">
        <v>470</v>
      </c>
      <c r="I153" s="48"/>
      <c r="J153" s="86"/>
      <c r="K153" s="48" t="s">
        <v>685</v>
      </c>
      <c r="L153" s="48" t="s">
        <v>580</v>
      </c>
      <c r="M153" s="48"/>
      <c r="N153" s="48"/>
      <c r="O153" s="48" t="s">
        <v>474</v>
      </c>
      <c r="P153" s="48"/>
      <c r="Q153" s="48"/>
      <c r="R153" s="48">
        <v>0.86</v>
      </c>
      <c r="S153" s="53"/>
      <c r="T153" s="53"/>
      <c r="U153" s="53"/>
      <c r="V153" s="53"/>
      <c r="W153" s="53"/>
      <c r="X153" s="180"/>
      <c r="Y153" s="53"/>
      <c r="Z153" s="53"/>
      <c r="AA153" s="180"/>
      <c r="AB153" s="182">
        <f>0.9*0.03</f>
        <v>2.7E-2</v>
      </c>
      <c r="AD153" s="38"/>
    </row>
    <row r="154" spans="1:32">
      <c r="A154" s="47"/>
      <c r="B154" s="48"/>
      <c r="C154" s="48"/>
      <c r="D154" s="63"/>
      <c r="E154" s="46"/>
      <c r="F154" s="50"/>
      <c r="G154" s="48"/>
      <c r="H154" s="48"/>
      <c r="I154" s="48"/>
      <c r="J154" s="48"/>
      <c r="K154" s="48"/>
      <c r="L154" s="48"/>
      <c r="M154" s="56"/>
      <c r="N154" s="56"/>
      <c r="O154" s="48"/>
      <c r="P154" s="52"/>
      <c r="Q154" s="52"/>
      <c r="R154" s="48"/>
      <c r="S154" s="53"/>
      <c r="T154" s="53"/>
      <c r="U154" s="54"/>
      <c r="V154" s="53"/>
      <c r="W154" s="53"/>
      <c r="X154" s="180"/>
      <c r="Y154" s="53"/>
      <c r="Z154" s="53"/>
      <c r="AA154" s="180"/>
      <c r="AB154" s="180"/>
    </row>
    <row r="155" spans="1:32">
      <c r="A155" s="47"/>
      <c r="B155" s="48"/>
      <c r="C155" s="48"/>
      <c r="D155" s="63"/>
      <c r="E155" s="46"/>
      <c r="F155" s="50"/>
      <c r="G155" s="48"/>
      <c r="H155" s="48"/>
      <c r="I155" s="48"/>
      <c r="J155" s="48"/>
      <c r="K155" s="48"/>
      <c r="L155" s="48"/>
      <c r="M155" s="56"/>
      <c r="N155" s="56"/>
      <c r="O155" s="48"/>
      <c r="P155" s="52"/>
      <c r="Q155" s="52"/>
      <c r="R155" s="48"/>
      <c r="S155" s="53"/>
      <c r="T155" s="53"/>
      <c r="U155" s="54"/>
      <c r="V155" s="53"/>
      <c r="W155" s="53"/>
      <c r="X155" s="180"/>
      <c r="Y155" s="53"/>
      <c r="Z155" s="53"/>
      <c r="AA155" s="180"/>
      <c r="AB155" s="180"/>
    </row>
    <row r="156" spans="1:32">
      <c r="A156" s="47"/>
      <c r="B156" s="48"/>
      <c r="C156" s="48"/>
      <c r="D156" s="63"/>
      <c r="E156" s="46"/>
      <c r="F156" s="50"/>
      <c r="G156" s="48"/>
      <c r="H156" s="48"/>
      <c r="I156" s="48"/>
      <c r="J156" s="48"/>
      <c r="K156" s="48"/>
      <c r="L156" s="48"/>
      <c r="M156" s="56"/>
      <c r="N156" s="56"/>
      <c r="O156" s="48"/>
      <c r="P156" s="52"/>
      <c r="Q156" s="52"/>
      <c r="R156" s="48"/>
      <c r="S156" s="53"/>
      <c r="T156" s="53"/>
      <c r="U156" s="54"/>
      <c r="V156" s="53"/>
      <c r="W156" s="53"/>
      <c r="X156" s="180"/>
      <c r="Y156" s="53"/>
      <c r="Z156" s="53"/>
      <c r="AA156" s="180"/>
      <c r="AB156" s="180"/>
    </row>
    <row r="157" spans="1:32">
      <c r="A157" s="96" t="s">
        <v>782</v>
      </c>
      <c r="B157" s="48"/>
      <c r="C157" s="48"/>
      <c r="D157" s="63"/>
      <c r="E157" s="46"/>
      <c r="F157" s="50"/>
      <c r="G157" s="48"/>
      <c r="H157" s="48"/>
      <c r="I157" s="48"/>
      <c r="J157" s="48"/>
      <c r="K157" s="48"/>
      <c r="L157" s="48"/>
      <c r="M157" s="56"/>
      <c r="N157" s="56"/>
      <c r="O157" s="48"/>
      <c r="P157" s="52"/>
      <c r="Q157" s="52"/>
      <c r="R157" s="48"/>
      <c r="S157" s="53"/>
      <c r="T157" s="53"/>
      <c r="U157" s="54"/>
      <c r="V157" s="53"/>
      <c r="W157" s="53"/>
      <c r="X157" s="180"/>
      <c r="Y157" s="53"/>
      <c r="Z157" s="53"/>
      <c r="AA157" s="180"/>
      <c r="AB157" s="180"/>
    </row>
    <row r="158" spans="1:32">
      <c r="A158" s="47"/>
      <c r="B158" s="48"/>
      <c r="C158" s="48"/>
      <c r="D158" s="63"/>
      <c r="E158" s="46"/>
      <c r="F158" s="50"/>
      <c r="G158" s="48"/>
      <c r="H158" s="48"/>
      <c r="I158" s="48"/>
      <c r="J158" s="48"/>
      <c r="K158" s="48"/>
      <c r="L158" s="48"/>
      <c r="M158" s="56"/>
      <c r="N158" s="56"/>
      <c r="O158" s="48"/>
      <c r="P158" s="52"/>
      <c r="Q158" s="52"/>
      <c r="R158" s="48"/>
      <c r="S158" s="53"/>
      <c r="T158" s="53"/>
      <c r="U158" s="54"/>
      <c r="V158" s="53"/>
      <c r="W158" s="53"/>
      <c r="X158" s="180"/>
      <c r="Y158" s="53"/>
      <c r="Z158" s="53"/>
      <c r="AA158" s="180"/>
      <c r="AB158" s="180"/>
    </row>
    <row r="159" spans="1:32">
      <c r="A159" s="48" t="s">
        <v>536</v>
      </c>
      <c r="B159" s="48"/>
      <c r="C159" s="48"/>
      <c r="D159" s="63"/>
      <c r="E159" s="46"/>
      <c r="F159" s="50"/>
      <c r="G159" s="48"/>
      <c r="H159" s="48"/>
      <c r="I159" s="48"/>
      <c r="J159" s="48"/>
      <c r="K159" s="48"/>
      <c r="L159" s="48"/>
      <c r="M159" s="56"/>
      <c r="N159" s="56"/>
      <c r="O159" s="48"/>
      <c r="P159" s="52"/>
      <c r="Q159" s="52"/>
      <c r="R159" s="48"/>
      <c r="S159" s="53"/>
      <c r="T159" s="53"/>
      <c r="U159" s="54"/>
      <c r="V159" s="53"/>
      <c r="W159" s="53"/>
      <c r="X159" s="180"/>
      <c r="Y159" s="53"/>
      <c r="Z159" s="53"/>
      <c r="AA159" s="180"/>
      <c r="AB159" s="180"/>
    </row>
    <row r="160" spans="1:32">
      <c r="A160" s="57">
        <v>193</v>
      </c>
      <c r="B160" s="58" t="s">
        <v>501</v>
      </c>
      <c r="C160" s="58">
        <v>2001</v>
      </c>
      <c r="D160" s="58" t="s">
        <v>502</v>
      </c>
      <c r="E160" s="60" t="s">
        <v>503</v>
      </c>
      <c r="F160" s="58">
        <v>2001</v>
      </c>
      <c r="G160" s="58"/>
      <c r="H160" s="58"/>
      <c r="I160" s="58"/>
      <c r="J160" s="58"/>
      <c r="K160" s="58"/>
      <c r="L160" s="58" t="s">
        <v>508</v>
      </c>
      <c r="M160" s="58"/>
      <c r="N160" s="58"/>
      <c r="O160" s="58"/>
      <c r="P160" s="58"/>
      <c r="Q160" s="58"/>
      <c r="R160" s="58"/>
      <c r="S160" s="62"/>
      <c r="T160" s="62"/>
      <c r="U160" s="62"/>
      <c r="V160" s="62"/>
      <c r="W160" s="62"/>
      <c r="X160" s="187"/>
      <c r="Y160" s="62"/>
      <c r="Z160" s="62"/>
      <c r="AA160" s="187"/>
      <c r="AB160" s="187">
        <v>0.04</v>
      </c>
    </row>
    <row r="161" spans="1:34">
      <c r="A161" s="47">
        <v>193</v>
      </c>
      <c r="B161" s="64" t="s">
        <v>501</v>
      </c>
      <c r="C161" s="65">
        <v>2001</v>
      </c>
      <c r="D161" s="64" t="s">
        <v>502</v>
      </c>
      <c r="E161" s="46" t="s">
        <v>503</v>
      </c>
      <c r="F161" s="48">
        <v>2001</v>
      </c>
      <c r="G161" s="48"/>
      <c r="H161" s="48"/>
      <c r="I161" s="48"/>
      <c r="J161" s="48"/>
      <c r="K161" s="48"/>
      <c r="L161" s="48" t="s">
        <v>506</v>
      </c>
      <c r="M161" s="48"/>
      <c r="N161" s="48"/>
      <c r="O161" s="48"/>
      <c r="P161" s="48"/>
      <c r="Q161" s="48"/>
      <c r="R161" s="48"/>
      <c r="S161" s="53"/>
      <c r="T161" s="53"/>
      <c r="U161" s="53"/>
      <c r="V161" s="53"/>
      <c r="W161" s="53"/>
      <c r="X161" s="180"/>
      <c r="Y161" s="53"/>
      <c r="Z161" s="53"/>
      <c r="AA161" s="180"/>
      <c r="AB161" s="180">
        <v>1.1000000000000001</v>
      </c>
    </row>
    <row r="162" spans="1:34">
      <c r="A162" s="47">
        <v>193</v>
      </c>
      <c r="B162" s="64" t="s">
        <v>501</v>
      </c>
      <c r="C162" s="65">
        <v>2001</v>
      </c>
      <c r="D162" s="64" t="s">
        <v>502</v>
      </c>
      <c r="E162" s="46" t="s">
        <v>503</v>
      </c>
      <c r="F162" s="48">
        <v>2001</v>
      </c>
      <c r="G162" s="48"/>
      <c r="H162" s="48"/>
      <c r="I162" s="48"/>
      <c r="J162" s="48"/>
      <c r="K162" s="48"/>
      <c r="L162" s="48" t="s">
        <v>119</v>
      </c>
      <c r="M162" s="48"/>
      <c r="N162" s="48"/>
      <c r="O162" s="48"/>
      <c r="P162" s="48"/>
      <c r="Q162" s="48"/>
      <c r="R162" s="48"/>
      <c r="S162" s="53"/>
      <c r="T162" s="53"/>
      <c r="U162" s="53"/>
      <c r="V162" s="53"/>
      <c r="W162" s="53"/>
      <c r="X162" s="180"/>
      <c r="Y162" s="53"/>
      <c r="Z162" s="53"/>
      <c r="AA162" s="180"/>
      <c r="AB162" s="180">
        <v>1.6</v>
      </c>
    </row>
    <row r="163" spans="1:34">
      <c r="A163" s="47">
        <v>193</v>
      </c>
      <c r="B163" s="64" t="s">
        <v>501</v>
      </c>
      <c r="C163" s="65">
        <v>2001</v>
      </c>
      <c r="D163" s="64" t="s">
        <v>502</v>
      </c>
      <c r="E163" s="46" t="s">
        <v>503</v>
      </c>
      <c r="F163" s="48">
        <v>2001</v>
      </c>
      <c r="G163" s="48"/>
      <c r="H163" s="48"/>
      <c r="I163" s="48"/>
      <c r="J163" s="48"/>
      <c r="K163" s="48"/>
      <c r="L163" s="48" t="s">
        <v>120</v>
      </c>
      <c r="M163" s="48"/>
      <c r="N163" s="48"/>
      <c r="O163" s="48"/>
      <c r="P163" s="48"/>
      <c r="Q163" s="48"/>
      <c r="R163" s="48"/>
      <c r="S163" s="53"/>
      <c r="T163" s="53"/>
      <c r="U163" s="53"/>
      <c r="V163" s="53"/>
      <c r="W163" s="53"/>
      <c r="X163" s="180"/>
      <c r="Y163" s="53"/>
      <c r="Z163" s="53"/>
      <c r="AA163" s="180"/>
      <c r="AB163" s="180">
        <v>2.5</v>
      </c>
    </row>
    <row r="164" spans="1:34">
      <c r="A164" s="47">
        <v>193</v>
      </c>
      <c r="B164" s="64" t="s">
        <v>501</v>
      </c>
      <c r="C164" s="65">
        <v>2001</v>
      </c>
      <c r="D164" s="64" t="s">
        <v>502</v>
      </c>
      <c r="E164" s="46" t="s">
        <v>503</v>
      </c>
      <c r="F164" s="48">
        <v>2001</v>
      </c>
      <c r="G164" s="48"/>
      <c r="H164" s="48"/>
      <c r="I164" s="48"/>
      <c r="J164" s="48"/>
      <c r="K164" s="48"/>
      <c r="L164" s="48" t="s">
        <v>504</v>
      </c>
      <c r="M164" s="48"/>
      <c r="N164" s="48"/>
      <c r="O164" s="48"/>
      <c r="P164" s="48"/>
      <c r="Q164" s="48"/>
      <c r="R164" s="48"/>
      <c r="S164" s="53"/>
      <c r="T164" s="53"/>
      <c r="U164" s="53"/>
      <c r="V164" s="53"/>
      <c r="W164" s="53"/>
      <c r="X164" s="180"/>
      <c r="Y164" s="53"/>
      <c r="Z164" s="53"/>
      <c r="AA164" s="180"/>
      <c r="AB164" s="180">
        <v>3</v>
      </c>
    </row>
    <row r="165" spans="1:34">
      <c r="A165" s="47">
        <v>193</v>
      </c>
      <c r="B165" s="64" t="s">
        <v>501</v>
      </c>
      <c r="C165" s="65">
        <v>2001</v>
      </c>
      <c r="D165" s="64" t="s">
        <v>502</v>
      </c>
      <c r="E165" s="46" t="s">
        <v>503</v>
      </c>
      <c r="F165" s="48">
        <v>2001</v>
      </c>
      <c r="G165" s="48"/>
      <c r="H165" s="48"/>
      <c r="I165" s="48"/>
      <c r="J165" s="48"/>
      <c r="K165" s="48"/>
      <c r="L165" s="48" t="s">
        <v>507</v>
      </c>
      <c r="M165" s="48"/>
      <c r="N165" s="48"/>
      <c r="O165" s="48"/>
      <c r="P165" s="48"/>
      <c r="Q165" s="48"/>
      <c r="R165" s="48"/>
      <c r="S165" s="53"/>
      <c r="T165" s="53"/>
      <c r="U165" s="53"/>
      <c r="V165" s="53"/>
      <c r="W165" s="53"/>
      <c r="X165" s="180"/>
      <c r="Y165" s="53"/>
      <c r="Z165" s="53"/>
      <c r="AA165" s="180"/>
      <c r="AB165" s="180">
        <v>3.9</v>
      </c>
    </row>
    <row r="166" spans="1:34">
      <c r="A166" s="47">
        <v>193</v>
      </c>
      <c r="B166" s="64" t="s">
        <v>501</v>
      </c>
      <c r="C166" s="65">
        <v>2001</v>
      </c>
      <c r="D166" s="64" t="s">
        <v>502</v>
      </c>
      <c r="E166" s="46" t="s">
        <v>503</v>
      </c>
      <c r="F166" s="48">
        <v>2001</v>
      </c>
      <c r="G166" s="48"/>
      <c r="H166" s="48"/>
      <c r="I166" s="48"/>
      <c r="J166" s="48"/>
      <c r="K166" s="48"/>
      <c r="L166" s="48" t="s">
        <v>505</v>
      </c>
      <c r="M166" s="48"/>
      <c r="N166" s="48"/>
      <c r="O166" s="48"/>
      <c r="P166" s="48"/>
      <c r="Q166" s="48"/>
      <c r="R166" s="48"/>
      <c r="S166" s="53"/>
      <c r="T166" s="53"/>
      <c r="U166" s="53"/>
      <c r="V166" s="53"/>
      <c r="W166" s="53"/>
      <c r="X166" s="180"/>
      <c r="Y166" s="53"/>
      <c r="Z166" s="53"/>
      <c r="AA166" s="180"/>
      <c r="AB166" s="180">
        <v>3.9</v>
      </c>
    </row>
    <row r="169" spans="1:34">
      <c r="A169" s="43" t="s">
        <v>535</v>
      </c>
    </row>
    <row r="170" spans="1:34">
      <c r="A170" s="47">
        <v>112</v>
      </c>
      <c r="B170" s="52" t="s">
        <v>122</v>
      </c>
      <c r="C170" s="52">
        <v>1996</v>
      </c>
      <c r="D170" s="52" t="s">
        <v>123</v>
      </c>
      <c r="E170" s="46" t="s">
        <v>16</v>
      </c>
      <c r="F170" s="48">
        <v>1996</v>
      </c>
      <c r="G170" s="48" t="s">
        <v>125</v>
      </c>
      <c r="H170" s="48" t="s">
        <v>49</v>
      </c>
      <c r="I170" s="48"/>
      <c r="J170" s="48" t="s">
        <v>706</v>
      </c>
      <c r="K170" s="48" t="s">
        <v>656</v>
      </c>
      <c r="L170" s="48" t="s">
        <v>37</v>
      </c>
      <c r="M170" s="48" t="s">
        <v>126</v>
      </c>
      <c r="N170" s="48"/>
      <c r="O170" s="48" t="s">
        <v>127</v>
      </c>
      <c r="P170" s="48"/>
      <c r="Q170" s="48"/>
      <c r="R170" s="48"/>
      <c r="S170" s="53">
        <v>0.99</v>
      </c>
      <c r="T170" s="53">
        <v>0.83499999999999996</v>
      </c>
      <c r="U170" s="53">
        <v>0.95599999999999996</v>
      </c>
      <c r="V170" s="53" t="s">
        <v>133</v>
      </c>
      <c r="W170" s="53" t="s">
        <v>134</v>
      </c>
      <c r="X170" s="180" t="s">
        <v>135</v>
      </c>
      <c r="Y170" s="53" t="s">
        <v>136</v>
      </c>
      <c r="Z170" s="53"/>
      <c r="AA170" s="180" t="s">
        <v>137</v>
      </c>
      <c r="AB170" s="180"/>
    </row>
    <row r="171" spans="1:34">
      <c r="A171" s="47">
        <v>112</v>
      </c>
      <c r="B171" s="52" t="s">
        <v>122</v>
      </c>
      <c r="C171" s="52">
        <v>1996</v>
      </c>
      <c r="D171" s="52" t="s">
        <v>123</v>
      </c>
      <c r="E171" s="46" t="s">
        <v>16</v>
      </c>
      <c r="F171" s="48">
        <v>1996</v>
      </c>
      <c r="G171" s="48" t="s">
        <v>125</v>
      </c>
      <c r="H171" s="48" t="s">
        <v>49</v>
      </c>
      <c r="I171" s="48"/>
      <c r="J171" s="48" t="s">
        <v>704</v>
      </c>
      <c r="K171" s="48" t="s">
        <v>655</v>
      </c>
      <c r="L171" s="48" t="s">
        <v>167</v>
      </c>
      <c r="M171" s="48" t="s">
        <v>168</v>
      </c>
      <c r="N171" s="48"/>
      <c r="O171" s="48" t="s">
        <v>191</v>
      </c>
      <c r="P171" s="48"/>
      <c r="Q171" s="48"/>
      <c r="R171" s="48"/>
      <c r="S171" s="53">
        <v>0.98199999999999998</v>
      </c>
      <c r="T171" s="53">
        <v>0.86199999999999999</v>
      </c>
      <c r="U171" s="53">
        <v>0.96899999999999997</v>
      </c>
      <c r="V171" s="53" t="s">
        <v>133</v>
      </c>
      <c r="W171" s="53" t="s">
        <v>149</v>
      </c>
      <c r="X171" s="180" t="s">
        <v>195</v>
      </c>
      <c r="Y171" s="53" t="s">
        <v>196</v>
      </c>
      <c r="Z171" s="53" t="s">
        <v>197</v>
      </c>
      <c r="AA171" s="180" t="s">
        <v>198</v>
      </c>
      <c r="AB171" s="180"/>
    </row>
    <row r="172" spans="1:34">
      <c r="A172" s="57">
        <v>112</v>
      </c>
      <c r="B172" s="61" t="s">
        <v>122</v>
      </c>
      <c r="C172" s="61">
        <v>1996</v>
      </c>
      <c r="D172" s="61" t="s">
        <v>123</v>
      </c>
      <c r="E172" s="60" t="s">
        <v>16</v>
      </c>
      <c r="F172" s="58">
        <v>1996</v>
      </c>
      <c r="G172" s="58" t="s">
        <v>125</v>
      </c>
      <c r="H172" s="58" t="s">
        <v>49</v>
      </c>
      <c r="I172" s="58"/>
      <c r="J172" s="58" t="s">
        <v>706</v>
      </c>
      <c r="K172" s="58" t="s">
        <v>669</v>
      </c>
      <c r="L172" s="58" t="s">
        <v>159</v>
      </c>
      <c r="M172" s="58" t="s">
        <v>126</v>
      </c>
      <c r="N172" s="58"/>
      <c r="O172" s="58" t="s">
        <v>160</v>
      </c>
      <c r="P172" s="58"/>
      <c r="Q172" s="58"/>
      <c r="R172" s="58"/>
      <c r="S172" s="62">
        <v>0.99399999999999999</v>
      </c>
      <c r="T172" s="62">
        <v>0.85799999999999998</v>
      </c>
      <c r="U172" s="62">
        <v>0.97299999999999998</v>
      </c>
      <c r="V172" s="62" t="s">
        <v>161</v>
      </c>
      <c r="W172" s="62" t="s">
        <v>162</v>
      </c>
      <c r="X172" s="187" t="s">
        <v>163</v>
      </c>
      <c r="Y172" s="62" t="s">
        <v>164</v>
      </c>
      <c r="Z172" s="62" t="s">
        <v>165</v>
      </c>
      <c r="AA172" s="187" t="s">
        <v>166</v>
      </c>
      <c r="AB172" s="187"/>
    </row>
    <row r="173" spans="1:34">
      <c r="A173" s="57">
        <v>112</v>
      </c>
      <c r="B173" s="61" t="s">
        <v>122</v>
      </c>
      <c r="C173" s="61">
        <v>1996</v>
      </c>
      <c r="D173" s="61" t="s">
        <v>123</v>
      </c>
      <c r="E173" s="60" t="s">
        <v>16</v>
      </c>
      <c r="F173" s="58">
        <v>1996</v>
      </c>
      <c r="G173" s="58" t="s">
        <v>125</v>
      </c>
      <c r="H173" s="58" t="s">
        <v>49</v>
      </c>
      <c r="I173" s="58"/>
      <c r="J173" s="58" t="s">
        <v>706</v>
      </c>
      <c r="K173" s="58" t="s">
        <v>670</v>
      </c>
      <c r="L173" s="58" t="s">
        <v>147</v>
      </c>
      <c r="M173" s="58" t="s">
        <v>126</v>
      </c>
      <c r="N173" s="58"/>
      <c r="O173" s="58" t="s">
        <v>148</v>
      </c>
      <c r="P173" s="58"/>
      <c r="Q173" s="58"/>
      <c r="R173" s="58"/>
      <c r="S173" s="62">
        <v>0.98899999999999999</v>
      </c>
      <c r="T173" s="62">
        <v>0.874</v>
      </c>
      <c r="U173" s="62">
        <v>0.96099999999999997</v>
      </c>
      <c r="V173" s="62" t="s">
        <v>153</v>
      </c>
      <c r="W173" s="62" t="s">
        <v>154</v>
      </c>
      <c r="X173" s="187" t="s">
        <v>155</v>
      </c>
      <c r="Y173" s="62" t="s">
        <v>156</v>
      </c>
      <c r="Z173" s="62" t="s">
        <v>157</v>
      </c>
      <c r="AA173" s="187" t="s">
        <v>158</v>
      </c>
      <c r="AB173" s="187"/>
    </row>
    <row r="174" spans="1:34">
      <c r="A174" s="47">
        <v>112</v>
      </c>
      <c r="B174" s="52" t="s">
        <v>122</v>
      </c>
      <c r="C174" s="52">
        <v>1996</v>
      </c>
      <c r="D174" s="52" t="s">
        <v>123</v>
      </c>
      <c r="E174" s="46" t="s">
        <v>16</v>
      </c>
      <c r="F174" s="48">
        <v>1996</v>
      </c>
      <c r="G174" s="48" t="s">
        <v>125</v>
      </c>
      <c r="H174" s="48" t="s">
        <v>49</v>
      </c>
      <c r="I174" s="48"/>
      <c r="J174" s="48" t="s">
        <v>706</v>
      </c>
      <c r="K174" s="48" t="s">
        <v>656</v>
      </c>
      <c r="L174" s="48" t="s">
        <v>37</v>
      </c>
      <c r="M174" s="48" t="s">
        <v>126</v>
      </c>
      <c r="N174" s="48"/>
      <c r="O174" s="48" t="s">
        <v>138</v>
      </c>
      <c r="P174" s="48"/>
      <c r="Q174" s="48"/>
      <c r="R174" s="48"/>
      <c r="S174" s="53">
        <v>0.99</v>
      </c>
      <c r="T174" s="53">
        <v>0.82299999999999995</v>
      </c>
      <c r="U174" s="53">
        <v>0.96</v>
      </c>
      <c r="V174" s="53" t="s">
        <v>141</v>
      </c>
      <c r="W174" s="53" t="s">
        <v>142</v>
      </c>
      <c r="X174" s="180" t="s">
        <v>143</v>
      </c>
      <c r="Y174" s="53" t="s">
        <v>144</v>
      </c>
      <c r="Z174" s="53" t="s">
        <v>145</v>
      </c>
      <c r="AA174" s="180" t="s">
        <v>146</v>
      </c>
      <c r="AB174" s="180"/>
    </row>
    <row r="175" spans="1:34">
      <c r="A175" s="47">
        <v>112</v>
      </c>
      <c r="B175" s="52" t="s">
        <v>122</v>
      </c>
      <c r="C175" s="52">
        <v>1996</v>
      </c>
      <c r="D175" s="52" t="s">
        <v>123</v>
      </c>
      <c r="E175" s="46" t="s">
        <v>16</v>
      </c>
      <c r="F175" s="48">
        <v>1996</v>
      </c>
      <c r="G175" s="48" t="s">
        <v>125</v>
      </c>
      <c r="H175" s="48" t="s">
        <v>49</v>
      </c>
      <c r="I175" s="48"/>
      <c r="J175" s="48" t="s">
        <v>704</v>
      </c>
      <c r="K175" s="48" t="s">
        <v>655</v>
      </c>
      <c r="L175" s="48" t="s">
        <v>167</v>
      </c>
      <c r="M175" s="48" t="s">
        <v>168</v>
      </c>
      <c r="N175" s="48"/>
      <c r="O175" s="48" t="s">
        <v>169</v>
      </c>
      <c r="P175" s="48"/>
      <c r="Q175" s="48"/>
      <c r="R175" s="48"/>
      <c r="S175" s="53">
        <v>0.97799999999999998</v>
      </c>
      <c r="T175" s="53">
        <v>0.879</v>
      </c>
      <c r="U175" s="53">
        <v>0.96</v>
      </c>
      <c r="V175" s="53" t="s">
        <v>174</v>
      </c>
      <c r="W175" s="53" t="s">
        <v>175</v>
      </c>
      <c r="X175" s="180" t="s">
        <v>176</v>
      </c>
      <c r="Y175" s="53" t="s">
        <v>177</v>
      </c>
      <c r="Z175" s="53" t="s">
        <v>178</v>
      </c>
      <c r="AA175" s="180" t="s">
        <v>170</v>
      </c>
      <c r="AB175" s="180"/>
    </row>
    <row r="176" spans="1:34" s="38" customFormat="1" ht="15" customHeight="1">
      <c r="A176" s="47">
        <v>112</v>
      </c>
      <c r="B176" s="52" t="s">
        <v>122</v>
      </c>
      <c r="C176" s="52">
        <v>1996</v>
      </c>
      <c r="D176" s="52" t="s">
        <v>123</v>
      </c>
      <c r="E176" s="46" t="s">
        <v>16</v>
      </c>
      <c r="F176" s="48">
        <v>1996</v>
      </c>
      <c r="G176" s="48" t="s">
        <v>125</v>
      </c>
      <c r="H176" s="48" t="s">
        <v>49</v>
      </c>
      <c r="I176" s="48"/>
      <c r="J176" s="87" t="s">
        <v>709</v>
      </c>
      <c r="K176" s="48" t="s">
        <v>667</v>
      </c>
      <c r="L176" s="48" t="s">
        <v>184</v>
      </c>
      <c r="M176" s="48" t="s">
        <v>603</v>
      </c>
      <c r="N176" s="48"/>
      <c r="O176" s="48" t="s">
        <v>185</v>
      </c>
      <c r="P176" s="48"/>
      <c r="Q176" s="48"/>
      <c r="R176" s="48"/>
      <c r="S176" s="53"/>
      <c r="T176" s="53"/>
      <c r="U176" s="53">
        <v>0.94199999999999995</v>
      </c>
      <c r="V176" s="53"/>
      <c r="W176" s="53"/>
      <c r="X176" s="180" t="s">
        <v>186</v>
      </c>
      <c r="Y176" s="53"/>
      <c r="Z176" s="53"/>
      <c r="AA176" s="180" t="s">
        <v>183</v>
      </c>
      <c r="AB176" s="180"/>
      <c r="AC176" s="101"/>
      <c r="AD176" s="104"/>
      <c r="AE176" s="104"/>
      <c r="AF176" s="104"/>
      <c r="AG176" s="104"/>
      <c r="AH176" s="104"/>
    </row>
    <row r="177" spans="1:34" s="38" customFormat="1" ht="15" customHeight="1">
      <c r="A177" s="47">
        <v>112</v>
      </c>
      <c r="B177" s="52" t="s">
        <v>122</v>
      </c>
      <c r="C177" s="52">
        <v>1996</v>
      </c>
      <c r="D177" s="52" t="s">
        <v>123</v>
      </c>
      <c r="E177" s="46" t="s">
        <v>16</v>
      </c>
      <c r="F177" s="48">
        <v>1996</v>
      </c>
      <c r="G177" s="48" t="s">
        <v>125</v>
      </c>
      <c r="H177" s="48" t="s">
        <v>49</v>
      </c>
      <c r="I177" s="48"/>
      <c r="J177" s="87" t="s">
        <v>709</v>
      </c>
      <c r="K177" s="48" t="s">
        <v>667</v>
      </c>
      <c r="L177" s="48" t="s">
        <v>179</v>
      </c>
      <c r="M177" s="48" t="s">
        <v>126</v>
      </c>
      <c r="N177" s="48"/>
      <c r="O177" s="48" t="s">
        <v>180</v>
      </c>
      <c r="P177" s="48"/>
      <c r="Q177" s="48"/>
      <c r="R177" s="48"/>
      <c r="S177" s="53"/>
      <c r="T177" s="53"/>
      <c r="U177" s="53">
        <v>0.88900000000000001</v>
      </c>
      <c r="V177" s="53"/>
      <c r="W177" s="53"/>
      <c r="X177" s="180" t="s">
        <v>128</v>
      </c>
      <c r="Y177" s="53"/>
      <c r="Z177" s="53"/>
      <c r="AA177" s="180" t="s">
        <v>183</v>
      </c>
      <c r="AB177" s="180"/>
      <c r="AC177" s="101"/>
      <c r="AD177" s="104"/>
      <c r="AE177" s="104"/>
      <c r="AF177" s="104"/>
      <c r="AG177" s="104"/>
      <c r="AH177" s="104"/>
    </row>
    <row r="178" spans="1:34" s="38" customFormat="1" ht="15" customHeight="1">
      <c r="A178" s="47">
        <v>112</v>
      </c>
      <c r="B178" s="52" t="s">
        <v>122</v>
      </c>
      <c r="C178" s="52">
        <v>1996</v>
      </c>
      <c r="D178" s="52" t="s">
        <v>123</v>
      </c>
      <c r="E178" s="46" t="s">
        <v>16</v>
      </c>
      <c r="F178" s="48">
        <v>1996</v>
      </c>
      <c r="G178" s="48" t="s">
        <v>125</v>
      </c>
      <c r="H178" s="48" t="s">
        <v>49</v>
      </c>
      <c r="I178" s="48"/>
      <c r="J178" s="87" t="s">
        <v>706</v>
      </c>
      <c r="K178" s="48" t="s">
        <v>668</v>
      </c>
      <c r="L178" s="48" t="s">
        <v>187</v>
      </c>
      <c r="M178" s="48" t="s">
        <v>602</v>
      </c>
      <c r="N178" s="48"/>
      <c r="O178" s="48" t="s">
        <v>188</v>
      </c>
      <c r="P178" s="48"/>
      <c r="Q178" s="48"/>
      <c r="R178" s="48"/>
      <c r="S178" s="53"/>
      <c r="T178" s="53"/>
      <c r="U178" s="53">
        <v>0.91</v>
      </c>
      <c r="V178" s="53"/>
      <c r="W178" s="53"/>
      <c r="X178" s="180" t="s">
        <v>190</v>
      </c>
      <c r="Y178" s="53"/>
      <c r="Z178" s="53"/>
      <c r="AA178" s="180" t="s">
        <v>150</v>
      </c>
      <c r="AB178" s="180"/>
      <c r="AC178" s="101"/>
      <c r="AD178" s="104"/>
      <c r="AE178" s="104"/>
      <c r="AF178" s="104"/>
      <c r="AG178" s="104"/>
      <c r="AH178" s="104"/>
    </row>
    <row r="181" spans="1:34">
      <c r="A181" s="19" t="s">
        <v>579</v>
      </c>
    </row>
    <row r="182" spans="1:34">
      <c r="A182" s="47">
        <v>182</v>
      </c>
      <c r="B182" s="49" t="s">
        <v>466</v>
      </c>
      <c r="C182" s="65">
        <v>2010</v>
      </c>
      <c r="D182" s="64" t="s">
        <v>467</v>
      </c>
      <c r="E182" s="46" t="s">
        <v>16</v>
      </c>
      <c r="F182" s="48">
        <v>2008</v>
      </c>
      <c r="G182" s="48" t="s">
        <v>469</v>
      </c>
      <c r="H182" s="48" t="s">
        <v>470</v>
      </c>
      <c r="I182" s="48"/>
      <c r="J182" s="48" t="s">
        <v>704</v>
      </c>
      <c r="K182" s="48" t="s">
        <v>679</v>
      </c>
      <c r="L182" s="48" t="s">
        <v>94</v>
      </c>
      <c r="M182" s="48"/>
      <c r="N182" s="48"/>
      <c r="O182" s="48" t="s">
        <v>488</v>
      </c>
      <c r="P182" s="48"/>
      <c r="Q182" s="48"/>
      <c r="R182" s="48">
        <v>0.72</v>
      </c>
      <c r="S182" s="53"/>
      <c r="T182" s="53"/>
      <c r="U182" s="53"/>
      <c r="V182" s="53"/>
      <c r="W182" s="53"/>
      <c r="X182" s="180"/>
      <c r="Y182" s="53"/>
      <c r="Z182" s="53"/>
      <c r="AA182" s="180"/>
      <c r="AB182" s="182">
        <f>2.2/2</f>
        <v>1.1000000000000001</v>
      </c>
    </row>
    <row r="183" spans="1:34">
      <c r="A183" s="47">
        <v>182</v>
      </c>
      <c r="B183" s="49" t="s">
        <v>466</v>
      </c>
      <c r="C183" s="65">
        <v>2010</v>
      </c>
      <c r="D183" s="64" t="s">
        <v>467</v>
      </c>
      <c r="E183" s="46" t="s">
        <v>16</v>
      </c>
      <c r="F183" s="48">
        <v>2008</v>
      </c>
      <c r="G183" s="48" t="s">
        <v>469</v>
      </c>
      <c r="H183" s="48" t="s">
        <v>470</v>
      </c>
      <c r="I183" s="48"/>
      <c r="J183" s="48" t="s">
        <v>704</v>
      </c>
      <c r="K183" s="48" t="s">
        <v>679</v>
      </c>
      <c r="L183" s="48" t="s">
        <v>94</v>
      </c>
      <c r="M183" s="48"/>
      <c r="N183" s="48"/>
      <c r="O183" s="48" t="s">
        <v>497</v>
      </c>
      <c r="P183" s="48"/>
      <c r="Q183" s="48"/>
      <c r="R183" s="48">
        <v>0.62</v>
      </c>
      <c r="S183" s="53"/>
      <c r="T183" s="53"/>
      <c r="U183" s="53"/>
      <c r="V183" s="53"/>
      <c r="W183" s="53"/>
      <c r="X183" s="180"/>
      <c r="Y183" s="53"/>
      <c r="Z183" s="53"/>
      <c r="AA183" s="180"/>
      <c r="AB183" s="182">
        <f>2.7/2</f>
        <v>1.35</v>
      </c>
    </row>
    <row r="184" spans="1:34">
      <c r="A184" s="47">
        <v>182</v>
      </c>
      <c r="B184" s="49" t="s">
        <v>466</v>
      </c>
      <c r="C184" s="65">
        <v>2010</v>
      </c>
      <c r="D184" s="64" t="s">
        <v>467</v>
      </c>
      <c r="E184" s="46" t="s">
        <v>16</v>
      </c>
      <c r="F184" s="48">
        <v>2008</v>
      </c>
      <c r="G184" s="48" t="s">
        <v>469</v>
      </c>
      <c r="H184" s="48" t="s">
        <v>470</v>
      </c>
      <c r="I184" s="48"/>
      <c r="J184" s="48" t="s">
        <v>704</v>
      </c>
      <c r="K184" s="48" t="s">
        <v>769</v>
      </c>
      <c r="L184" s="48" t="s">
        <v>471</v>
      </c>
      <c r="M184" s="48"/>
      <c r="N184" s="48"/>
      <c r="O184" s="48" t="s">
        <v>485</v>
      </c>
      <c r="P184" s="48"/>
      <c r="Q184" s="48"/>
      <c r="R184" s="48">
        <v>0.8</v>
      </c>
      <c r="S184" s="53"/>
      <c r="T184" s="53"/>
      <c r="U184" s="53"/>
      <c r="V184" s="53"/>
      <c r="W184" s="53"/>
      <c r="X184" s="180"/>
      <c r="Y184" s="53"/>
      <c r="Z184" s="53"/>
      <c r="AA184" s="180"/>
      <c r="AB184" s="182">
        <f>2.8/2</f>
        <v>1.4</v>
      </c>
    </row>
    <row r="185" spans="1:34">
      <c r="A185" s="47">
        <v>182</v>
      </c>
      <c r="B185" s="49" t="s">
        <v>466</v>
      </c>
      <c r="C185" s="65">
        <v>2010</v>
      </c>
      <c r="D185" s="64" t="s">
        <v>467</v>
      </c>
      <c r="E185" s="46" t="s">
        <v>16</v>
      </c>
      <c r="F185" s="48">
        <v>2008</v>
      </c>
      <c r="G185" s="48" t="s">
        <v>469</v>
      </c>
      <c r="H185" s="48" t="s">
        <v>470</v>
      </c>
      <c r="I185" s="48"/>
      <c r="J185" s="48" t="s">
        <v>704</v>
      </c>
      <c r="K185" s="48" t="s">
        <v>679</v>
      </c>
      <c r="L185" s="48" t="s">
        <v>94</v>
      </c>
      <c r="M185" s="48"/>
      <c r="N185" s="48"/>
      <c r="O185" s="48" t="s">
        <v>489</v>
      </c>
      <c r="P185" s="48"/>
      <c r="Q185" s="48"/>
      <c r="R185" s="48">
        <v>0.89</v>
      </c>
      <c r="S185" s="53"/>
      <c r="T185" s="53"/>
      <c r="U185" s="53"/>
      <c r="V185" s="53"/>
      <c r="W185" s="53"/>
      <c r="X185" s="180"/>
      <c r="Y185" s="53"/>
      <c r="Z185" s="53"/>
      <c r="AA185" s="180"/>
      <c r="AB185" s="182">
        <f>2.9/2</f>
        <v>1.45</v>
      </c>
    </row>
    <row r="186" spans="1:34">
      <c r="A186" s="47">
        <v>182</v>
      </c>
      <c r="B186" s="49" t="s">
        <v>466</v>
      </c>
      <c r="C186" s="65">
        <v>2010</v>
      </c>
      <c r="D186" s="64" t="s">
        <v>467</v>
      </c>
      <c r="E186" s="46" t="s">
        <v>16</v>
      </c>
      <c r="F186" s="48">
        <v>2008</v>
      </c>
      <c r="G186" s="48" t="s">
        <v>469</v>
      </c>
      <c r="H186" s="48" t="s">
        <v>470</v>
      </c>
      <c r="I186" s="48"/>
      <c r="J186" s="48" t="s">
        <v>704</v>
      </c>
      <c r="K186" s="48" t="s">
        <v>767</v>
      </c>
      <c r="L186" s="48" t="s">
        <v>471</v>
      </c>
      <c r="M186" s="48"/>
      <c r="N186" s="48"/>
      <c r="O186" s="48" t="s">
        <v>493</v>
      </c>
      <c r="P186" s="48"/>
      <c r="Q186" s="48"/>
      <c r="R186" s="48">
        <v>0.69</v>
      </c>
      <c r="S186" s="53"/>
      <c r="T186" s="53"/>
      <c r="U186" s="53"/>
      <c r="V186" s="53"/>
      <c r="W186" s="53"/>
      <c r="X186" s="180"/>
      <c r="Y186" s="53"/>
      <c r="Z186" s="53"/>
      <c r="AA186" s="180"/>
      <c r="AB186" s="182">
        <f>3.8/2</f>
        <v>1.9</v>
      </c>
    </row>
    <row r="187" spans="1:34">
      <c r="A187" s="47">
        <v>182</v>
      </c>
      <c r="B187" s="49" t="s">
        <v>466</v>
      </c>
      <c r="C187" s="65">
        <v>2010</v>
      </c>
      <c r="D187" s="64" t="s">
        <v>467</v>
      </c>
      <c r="E187" s="46" t="s">
        <v>16</v>
      </c>
      <c r="F187" s="48">
        <v>2008</v>
      </c>
      <c r="G187" s="48" t="s">
        <v>469</v>
      </c>
      <c r="H187" s="48" t="s">
        <v>470</v>
      </c>
      <c r="I187" s="48"/>
      <c r="J187" s="48" t="s">
        <v>704</v>
      </c>
      <c r="K187" s="58" t="s">
        <v>678</v>
      </c>
      <c r="L187" s="48" t="s">
        <v>480</v>
      </c>
      <c r="M187" s="48"/>
      <c r="N187" s="48"/>
      <c r="O187" s="48" t="s">
        <v>490</v>
      </c>
      <c r="P187" s="48"/>
      <c r="Q187" s="48"/>
      <c r="R187" s="48">
        <v>0.67</v>
      </c>
      <c r="S187" s="53"/>
      <c r="T187" s="53"/>
      <c r="U187" s="53"/>
      <c r="V187" s="53"/>
      <c r="W187" s="53"/>
      <c r="X187" s="180"/>
      <c r="Y187" s="53"/>
      <c r="Z187" s="53"/>
      <c r="AA187" s="180"/>
      <c r="AB187" s="182">
        <v>2</v>
      </c>
    </row>
    <row r="188" spans="1:34">
      <c r="A188" s="47">
        <v>182</v>
      </c>
      <c r="B188" s="49" t="s">
        <v>466</v>
      </c>
      <c r="C188" s="65">
        <v>2010</v>
      </c>
      <c r="D188" s="64" t="s">
        <v>467</v>
      </c>
      <c r="E188" s="46" t="s">
        <v>16</v>
      </c>
      <c r="F188" s="48">
        <v>2008</v>
      </c>
      <c r="G188" s="48" t="s">
        <v>469</v>
      </c>
      <c r="H188" s="48" t="s">
        <v>470</v>
      </c>
      <c r="I188" s="48"/>
      <c r="J188" s="48" t="s">
        <v>704</v>
      </c>
      <c r="K188" s="48" t="s">
        <v>679</v>
      </c>
      <c r="L188" s="48" t="s">
        <v>94</v>
      </c>
      <c r="M188" s="48"/>
      <c r="N188" s="48"/>
      <c r="O188" s="48" t="s">
        <v>498</v>
      </c>
      <c r="P188" s="48"/>
      <c r="Q188" s="48"/>
      <c r="R188" s="48">
        <v>0.87</v>
      </c>
      <c r="S188" s="53"/>
      <c r="T188" s="53"/>
      <c r="U188" s="53"/>
      <c r="V188" s="53"/>
      <c r="W188" s="53"/>
      <c r="X188" s="180"/>
      <c r="Y188" s="53"/>
      <c r="Z188" s="53"/>
      <c r="AA188" s="180"/>
      <c r="AB188" s="182">
        <f>4.7/2</f>
        <v>2.35</v>
      </c>
    </row>
    <row r="189" spans="1:34">
      <c r="A189" s="47">
        <v>182</v>
      </c>
      <c r="B189" s="49" t="s">
        <v>466</v>
      </c>
      <c r="C189" s="65">
        <v>2010</v>
      </c>
      <c r="D189" s="64" t="s">
        <v>467</v>
      </c>
      <c r="E189" s="46" t="s">
        <v>16</v>
      </c>
      <c r="F189" s="48">
        <v>2008</v>
      </c>
      <c r="G189" s="48" t="s">
        <v>469</v>
      </c>
      <c r="H189" s="48" t="s">
        <v>470</v>
      </c>
      <c r="I189" s="48"/>
      <c r="J189" s="48" t="s">
        <v>704</v>
      </c>
      <c r="K189" s="48" t="s">
        <v>767</v>
      </c>
      <c r="L189" s="48" t="s">
        <v>471</v>
      </c>
      <c r="M189" s="48"/>
      <c r="N189" s="48"/>
      <c r="O189" s="48" t="s">
        <v>494</v>
      </c>
      <c r="P189" s="48"/>
      <c r="Q189" s="48"/>
      <c r="R189" s="48">
        <v>0.82</v>
      </c>
      <c r="S189" s="53"/>
      <c r="T189" s="53"/>
      <c r="U189" s="53"/>
      <c r="V189" s="53"/>
      <c r="W189" s="53"/>
      <c r="X189" s="180"/>
      <c r="Y189" s="53"/>
      <c r="Z189" s="53"/>
      <c r="AA189" s="180"/>
      <c r="AB189" s="182">
        <f>5.4/2</f>
        <v>2.7</v>
      </c>
    </row>
    <row r="190" spans="1:34">
      <c r="A190" s="47">
        <v>182</v>
      </c>
      <c r="B190" s="49" t="s">
        <v>466</v>
      </c>
      <c r="C190" s="65">
        <v>2010</v>
      </c>
      <c r="D190" s="64" t="s">
        <v>467</v>
      </c>
      <c r="E190" s="46" t="s">
        <v>16</v>
      </c>
      <c r="F190" s="48">
        <v>2008</v>
      </c>
      <c r="G190" s="48" t="s">
        <v>469</v>
      </c>
      <c r="H190" s="48" t="s">
        <v>470</v>
      </c>
      <c r="I190" s="48"/>
      <c r="J190" s="48" t="s">
        <v>704</v>
      </c>
      <c r="K190" s="48" t="s">
        <v>767</v>
      </c>
      <c r="L190" s="48" t="s">
        <v>471</v>
      </c>
      <c r="M190" s="48"/>
      <c r="N190" s="48"/>
      <c r="O190" s="48" t="s">
        <v>483</v>
      </c>
      <c r="P190" s="48"/>
      <c r="Q190" s="48"/>
      <c r="R190" s="48">
        <v>0.79</v>
      </c>
      <c r="S190" s="53"/>
      <c r="T190" s="53"/>
      <c r="U190" s="53"/>
      <c r="V190" s="53"/>
      <c r="W190" s="53"/>
      <c r="X190" s="180"/>
      <c r="Y190" s="53"/>
      <c r="Z190" s="53"/>
      <c r="AA190" s="180"/>
      <c r="AB190" s="182">
        <f>6.4/2</f>
        <v>3.2</v>
      </c>
    </row>
    <row r="191" spans="1:34">
      <c r="A191" s="47">
        <v>182</v>
      </c>
      <c r="B191" s="49" t="s">
        <v>466</v>
      </c>
      <c r="C191" s="65">
        <v>2010</v>
      </c>
      <c r="D191" s="64" t="s">
        <v>467</v>
      </c>
      <c r="E191" s="46" t="s">
        <v>16</v>
      </c>
      <c r="F191" s="48">
        <v>2008</v>
      </c>
      <c r="G191" s="48" t="s">
        <v>469</v>
      </c>
      <c r="H191" s="48" t="s">
        <v>470</v>
      </c>
      <c r="I191" s="48"/>
      <c r="J191" s="48" t="s">
        <v>704</v>
      </c>
      <c r="K191" s="58" t="s">
        <v>678</v>
      </c>
      <c r="L191" s="48" t="s">
        <v>480</v>
      </c>
      <c r="M191" s="48"/>
      <c r="N191" s="48"/>
      <c r="O191" s="48" t="s">
        <v>499</v>
      </c>
      <c r="P191" s="48"/>
      <c r="Q191" s="48"/>
      <c r="R191" s="48">
        <v>0.72</v>
      </c>
      <c r="S191" s="53"/>
      <c r="T191" s="53"/>
      <c r="U191" s="53"/>
      <c r="V191" s="53"/>
      <c r="W191" s="53"/>
      <c r="X191" s="180"/>
      <c r="Y191" s="53"/>
      <c r="Z191" s="53"/>
      <c r="AA191" s="180"/>
      <c r="AB191" s="182">
        <f>6.4/2</f>
        <v>3.2</v>
      </c>
    </row>
    <row r="192" spans="1:34">
      <c r="A192" s="57">
        <v>182</v>
      </c>
      <c r="B192" s="59" t="s">
        <v>466</v>
      </c>
      <c r="C192" s="67">
        <v>2010</v>
      </c>
      <c r="D192" s="68" t="s">
        <v>467</v>
      </c>
      <c r="E192" s="60" t="s">
        <v>16</v>
      </c>
      <c r="F192" s="58">
        <v>2008</v>
      </c>
      <c r="G192" s="58" t="s">
        <v>469</v>
      </c>
      <c r="H192" s="58" t="s">
        <v>470</v>
      </c>
      <c r="I192" s="58"/>
      <c r="J192" s="48" t="s">
        <v>704</v>
      </c>
      <c r="K192" s="48" t="s">
        <v>767</v>
      </c>
      <c r="L192" s="58" t="s">
        <v>471</v>
      </c>
      <c r="M192" s="58"/>
      <c r="N192" s="58"/>
      <c r="O192" s="58" t="s">
        <v>484</v>
      </c>
      <c r="P192" s="58"/>
      <c r="Q192" s="58"/>
      <c r="R192" s="58">
        <v>0.7</v>
      </c>
      <c r="S192" s="62"/>
      <c r="T192" s="62"/>
      <c r="U192" s="62"/>
      <c r="V192" s="62"/>
      <c r="W192" s="62"/>
      <c r="X192" s="187"/>
      <c r="Y192" s="62"/>
      <c r="Z192" s="62"/>
      <c r="AA192" s="187"/>
      <c r="AB192" s="189">
        <f>6.7/2</f>
        <v>3.35</v>
      </c>
    </row>
    <row r="193" spans="1:28">
      <c r="A193" s="47">
        <v>182</v>
      </c>
      <c r="B193" s="49" t="s">
        <v>466</v>
      </c>
      <c r="C193" s="65">
        <v>2010</v>
      </c>
      <c r="D193" s="64" t="s">
        <v>467</v>
      </c>
      <c r="E193" s="46" t="s">
        <v>16</v>
      </c>
      <c r="F193" s="48">
        <v>2008</v>
      </c>
      <c r="G193" s="48" t="s">
        <v>469</v>
      </c>
      <c r="H193" s="48" t="s">
        <v>470</v>
      </c>
      <c r="I193" s="48"/>
      <c r="J193" s="48" t="s">
        <v>704</v>
      </c>
      <c r="K193" s="48" t="s">
        <v>680</v>
      </c>
      <c r="L193" s="48" t="s">
        <v>475</v>
      </c>
      <c r="M193" s="48"/>
      <c r="N193" s="48"/>
      <c r="O193" s="48" t="s">
        <v>496</v>
      </c>
      <c r="P193" s="48"/>
      <c r="Q193" s="48"/>
      <c r="R193" s="48">
        <v>0.84</v>
      </c>
      <c r="S193" s="53"/>
      <c r="T193" s="53"/>
      <c r="U193" s="53"/>
      <c r="V193" s="53"/>
      <c r="W193" s="53"/>
      <c r="X193" s="180"/>
      <c r="Y193" s="53"/>
      <c r="Z193" s="53"/>
      <c r="AA193" s="180"/>
      <c r="AB193" s="182">
        <f>7.5/2</f>
        <v>3.75</v>
      </c>
    </row>
    <row r="194" spans="1:28">
      <c r="A194" s="47">
        <v>182</v>
      </c>
      <c r="B194" s="49" t="s">
        <v>466</v>
      </c>
      <c r="C194" s="65">
        <v>2010</v>
      </c>
      <c r="D194" s="64" t="s">
        <v>467</v>
      </c>
      <c r="E194" s="46" t="s">
        <v>16</v>
      </c>
      <c r="F194" s="48">
        <v>2008</v>
      </c>
      <c r="G194" s="48" t="s">
        <v>469</v>
      </c>
      <c r="H194" s="48" t="s">
        <v>470</v>
      </c>
      <c r="I194" s="48"/>
      <c r="J194" s="48" t="s">
        <v>704</v>
      </c>
      <c r="K194" s="48" t="s">
        <v>767</v>
      </c>
      <c r="L194" s="48" t="s">
        <v>471</v>
      </c>
      <c r="M194" s="48"/>
      <c r="N194" s="48"/>
      <c r="O194" s="48" t="s">
        <v>492</v>
      </c>
      <c r="P194" s="48"/>
      <c r="Q194" s="48"/>
      <c r="R194" s="48">
        <v>0.74</v>
      </c>
      <c r="S194" s="53"/>
      <c r="T194" s="53"/>
      <c r="U194" s="53"/>
      <c r="V194" s="53"/>
      <c r="W194" s="53"/>
      <c r="X194" s="180"/>
      <c r="Y194" s="53"/>
      <c r="Z194" s="53"/>
      <c r="AA194" s="180"/>
      <c r="AB194" s="182">
        <f>8.4/2</f>
        <v>4.2</v>
      </c>
    </row>
    <row r="195" spans="1:28">
      <c r="A195" s="47">
        <v>182</v>
      </c>
      <c r="B195" s="49" t="s">
        <v>466</v>
      </c>
      <c r="C195" s="65">
        <v>2010</v>
      </c>
      <c r="D195" s="64" t="s">
        <v>467</v>
      </c>
      <c r="E195" s="46" t="s">
        <v>16</v>
      </c>
      <c r="F195" s="48">
        <v>2008</v>
      </c>
      <c r="G195" s="48" t="s">
        <v>469</v>
      </c>
      <c r="H195" s="48" t="s">
        <v>470</v>
      </c>
      <c r="I195" s="48"/>
      <c r="J195" s="48" t="s">
        <v>704</v>
      </c>
      <c r="K195" s="58" t="s">
        <v>678</v>
      </c>
      <c r="L195" s="48" t="s">
        <v>480</v>
      </c>
      <c r="M195" s="48"/>
      <c r="N195" s="48"/>
      <c r="O195" s="48" t="s">
        <v>500</v>
      </c>
      <c r="P195" s="48"/>
      <c r="Q195" s="48"/>
      <c r="R195" s="48">
        <v>0.88</v>
      </c>
      <c r="S195" s="53"/>
      <c r="T195" s="53"/>
      <c r="U195" s="53"/>
      <c r="V195" s="53"/>
      <c r="W195" s="53"/>
      <c r="X195" s="180"/>
      <c r="Y195" s="53"/>
      <c r="Z195" s="53"/>
      <c r="AA195" s="180"/>
      <c r="AB195" s="182">
        <f>9.1/2</f>
        <v>4.55</v>
      </c>
    </row>
    <row r="196" spans="1:28">
      <c r="A196" s="47">
        <v>182</v>
      </c>
      <c r="B196" s="49" t="s">
        <v>466</v>
      </c>
      <c r="C196" s="65">
        <v>2010</v>
      </c>
      <c r="D196" s="64" t="s">
        <v>467</v>
      </c>
      <c r="E196" s="46" t="s">
        <v>16</v>
      </c>
      <c r="F196" s="48">
        <v>2008</v>
      </c>
      <c r="G196" s="48" t="s">
        <v>469</v>
      </c>
      <c r="H196" s="48" t="s">
        <v>470</v>
      </c>
      <c r="I196" s="48"/>
      <c r="J196" s="48" t="s">
        <v>704</v>
      </c>
      <c r="K196" s="48" t="s">
        <v>680</v>
      </c>
      <c r="L196" s="48" t="s">
        <v>475</v>
      </c>
      <c r="M196" s="48"/>
      <c r="N196" s="48"/>
      <c r="O196" s="48" t="s">
        <v>495</v>
      </c>
      <c r="P196" s="48"/>
      <c r="Q196" s="48"/>
      <c r="R196" s="48">
        <v>0.51</v>
      </c>
      <c r="S196" s="53"/>
      <c r="T196" s="53"/>
      <c r="U196" s="53"/>
      <c r="V196" s="53"/>
      <c r="W196" s="53"/>
      <c r="X196" s="180"/>
      <c r="Y196" s="53"/>
      <c r="Z196" s="53"/>
      <c r="AA196" s="180"/>
      <c r="AB196" s="182">
        <f>9.6/2</f>
        <v>4.8</v>
      </c>
    </row>
    <row r="197" spans="1:28">
      <c r="A197" s="47">
        <v>182</v>
      </c>
      <c r="B197" s="49" t="s">
        <v>466</v>
      </c>
      <c r="C197" s="65">
        <v>2010</v>
      </c>
      <c r="D197" s="64" t="s">
        <v>467</v>
      </c>
      <c r="E197" s="46" t="s">
        <v>16</v>
      </c>
      <c r="F197" s="48">
        <v>2008</v>
      </c>
      <c r="G197" s="48" t="s">
        <v>469</v>
      </c>
      <c r="H197" s="48" t="s">
        <v>470</v>
      </c>
      <c r="I197" s="48"/>
      <c r="J197" s="48" t="s">
        <v>704</v>
      </c>
      <c r="K197" s="48" t="s">
        <v>680</v>
      </c>
      <c r="L197" s="48" t="s">
        <v>475</v>
      </c>
      <c r="M197" s="48"/>
      <c r="N197" s="48"/>
      <c r="O197" s="48" t="s">
        <v>486</v>
      </c>
      <c r="P197" s="48"/>
      <c r="Q197" s="48"/>
      <c r="R197" s="48">
        <v>0.88</v>
      </c>
      <c r="S197" s="53"/>
      <c r="T197" s="53"/>
      <c r="U197" s="53"/>
      <c r="V197" s="53"/>
      <c r="W197" s="53"/>
      <c r="X197" s="180"/>
      <c r="Y197" s="53"/>
      <c r="Z197" s="53"/>
      <c r="AA197" s="180"/>
      <c r="AB197" s="182">
        <f>9.9/2</f>
        <v>4.95</v>
      </c>
    </row>
    <row r="198" spans="1:28">
      <c r="A198" s="47">
        <v>182</v>
      </c>
      <c r="B198" s="49" t="s">
        <v>466</v>
      </c>
      <c r="C198" s="65">
        <v>2010</v>
      </c>
      <c r="D198" s="64" t="s">
        <v>467</v>
      </c>
      <c r="E198" s="46" t="s">
        <v>16</v>
      </c>
      <c r="F198" s="48">
        <v>2008</v>
      </c>
      <c r="G198" s="48" t="s">
        <v>469</v>
      </c>
      <c r="H198" s="48" t="s">
        <v>470</v>
      </c>
      <c r="I198" s="48"/>
      <c r="J198" s="48" t="s">
        <v>704</v>
      </c>
      <c r="K198" s="58" t="s">
        <v>678</v>
      </c>
      <c r="L198" s="48" t="s">
        <v>480</v>
      </c>
      <c r="M198" s="48"/>
      <c r="N198" s="48"/>
      <c r="O198" s="48" t="s">
        <v>491</v>
      </c>
      <c r="P198" s="48"/>
      <c r="Q198" s="48"/>
      <c r="R198" s="48">
        <v>0.86</v>
      </c>
      <c r="S198" s="53"/>
      <c r="T198" s="53"/>
      <c r="U198" s="53"/>
      <c r="V198" s="53"/>
      <c r="W198" s="53"/>
      <c r="X198" s="180"/>
      <c r="Y198" s="53"/>
      <c r="Z198" s="53"/>
      <c r="AA198" s="180"/>
      <c r="AB198" s="182">
        <f>10.7/2</f>
        <v>5.35</v>
      </c>
    </row>
    <row r="199" spans="1:28">
      <c r="A199" s="47">
        <v>182</v>
      </c>
      <c r="B199" s="49" t="s">
        <v>466</v>
      </c>
      <c r="C199" s="65">
        <v>2010</v>
      </c>
      <c r="D199" s="64" t="s">
        <v>467</v>
      </c>
      <c r="E199" s="46" t="s">
        <v>16</v>
      </c>
      <c r="F199" s="48">
        <v>2008</v>
      </c>
      <c r="G199" s="48" t="s">
        <v>469</v>
      </c>
      <c r="H199" s="48" t="s">
        <v>470</v>
      </c>
      <c r="I199" s="48"/>
      <c r="J199" s="48" t="s">
        <v>704</v>
      </c>
      <c r="K199" s="48" t="s">
        <v>680</v>
      </c>
      <c r="L199" s="48" t="s">
        <v>475</v>
      </c>
      <c r="M199" s="48"/>
      <c r="N199" s="48"/>
      <c r="O199" s="48" t="s">
        <v>487</v>
      </c>
      <c r="P199" s="48"/>
      <c r="Q199" s="48"/>
      <c r="R199" s="48">
        <v>0.82</v>
      </c>
      <c r="S199" s="53"/>
      <c r="T199" s="53"/>
      <c r="U199" s="53"/>
      <c r="V199" s="53"/>
      <c r="W199" s="53"/>
      <c r="X199" s="180"/>
      <c r="Y199" s="53"/>
      <c r="Z199" s="53"/>
      <c r="AA199" s="180"/>
      <c r="AB199" s="182">
        <f>6.5/2</f>
        <v>3.25</v>
      </c>
    </row>
    <row r="202" spans="1:28">
      <c r="A202" s="19" t="s">
        <v>781</v>
      </c>
    </row>
    <row r="203" spans="1:28" ht="15" customHeight="1">
      <c r="A203" s="47">
        <v>80</v>
      </c>
      <c r="B203" s="48" t="s">
        <v>38</v>
      </c>
      <c r="C203" s="78">
        <v>1991</v>
      </c>
      <c r="D203" s="72" t="s">
        <v>71</v>
      </c>
      <c r="E203" s="46" t="s">
        <v>73</v>
      </c>
      <c r="F203" s="48">
        <v>1988</v>
      </c>
      <c r="G203" s="48" t="s">
        <v>69</v>
      </c>
      <c r="H203" s="89" t="s">
        <v>550</v>
      </c>
      <c r="I203" s="48"/>
      <c r="J203" s="19" t="s">
        <v>710</v>
      </c>
      <c r="K203" s="48" t="s">
        <v>671</v>
      </c>
      <c r="L203" s="48" t="s">
        <v>82</v>
      </c>
      <c r="M203" s="48"/>
      <c r="N203" s="48"/>
      <c r="O203" s="48" t="s">
        <v>70</v>
      </c>
      <c r="P203" s="48"/>
      <c r="Q203" s="48"/>
      <c r="R203" s="48"/>
      <c r="S203" s="53"/>
      <c r="T203" s="53"/>
      <c r="U203" s="53"/>
      <c r="V203" s="53"/>
      <c r="W203" s="53"/>
      <c r="X203" s="180"/>
      <c r="Y203" s="53"/>
      <c r="Z203" s="53"/>
      <c r="AA203" s="180"/>
      <c r="AB203" s="180">
        <v>1.05</v>
      </c>
    </row>
    <row r="204" spans="1:28" ht="15" customHeight="1">
      <c r="A204" s="47">
        <v>80</v>
      </c>
      <c r="B204" s="48" t="s">
        <v>38</v>
      </c>
      <c r="C204" s="78">
        <v>1991</v>
      </c>
      <c r="D204" s="72" t="s">
        <v>71</v>
      </c>
      <c r="E204" s="46" t="s">
        <v>73</v>
      </c>
      <c r="F204" s="48">
        <v>1986</v>
      </c>
      <c r="G204" s="48" t="s">
        <v>81</v>
      </c>
      <c r="H204" s="48" t="s">
        <v>39</v>
      </c>
      <c r="I204" s="48"/>
      <c r="J204" s="19" t="s">
        <v>704</v>
      </c>
      <c r="K204" s="79" t="s">
        <v>612</v>
      </c>
      <c r="L204" s="48" t="s">
        <v>66</v>
      </c>
      <c r="M204" s="48"/>
      <c r="N204" s="48"/>
      <c r="O204" s="48" t="s">
        <v>41</v>
      </c>
      <c r="P204" s="48"/>
      <c r="Q204" s="48"/>
      <c r="R204" s="48"/>
      <c r="S204" s="53"/>
      <c r="T204" s="53"/>
      <c r="U204" s="53"/>
      <c r="V204" s="53"/>
      <c r="W204" s="53"/>
      <c r="X204" s="180"/>
      <c r="Y204" s="53"/>
      <c r="Z204" s="53"/>
      <c r="AA204" s="180"/>
      <c r="AB204" s="180">
        <v>7.2</v>
      </c>
    </row>
    <row r="205" spans="1:28" ht="15" customHeight="1">
      <c r="A205" s="47">
        <v>80</v>
      </c>
      <c r="B205" s="48" t="s">
        <v>38</v>
      </c>
      <c r="C205" s="78">
        <v>1991</v>
      </c>
      <c r="D205" s="72" t="s">
        <v>71</v>
      </c>
      <c r="E205" s="46" t="s">
        <v>73</v>
      </c>
      <c r="F205" s="48">
        <v>1987</v>
      </c>
      <c r="G205" s="48" t="s">
        <v>65</v>
      </c>
      <c r="H205" s="89" t="s">
        <v>550</v>
      </c>
      <c r="I205" s="48"/>
      <c r="J205" s="19" t="s">
        <v>673</v>
      </c>
      <c r="K205" s="48" t="s">
        <v>673</v>
      </c>
      <c r="L205" s="48" t="s">
        <v>80</v>
      </c>
      <c r="M205" s="48"/>
      <c r="N205" s="48"/>
      <c r="O205" s="48" t="s">
        <v>45</v>
      </c>
      <c r="P205" s="48"/>
      <c r="Q205" s="48"/>
      <c r="R205" s="48"/>
      <c r="S205" s="53"/>
      <c r="T205" s="53"/>
      <c r="U205" s="53"/>
      <c r="V205" s="53"/>
      <c r="W205" s="53"/>
      <c r="X205" s="180"/>
      <c r="Y205" s="53"/>
      <c r="Z205" s="53"/>
      <c r="AA205" s="180"/>
      <c r="AB205" s="180">
        <v>3.3</v>
      </c>
    </row>
    <row r="206" spans="1:28" ht="15" customHeight="1">
      <c r="A206" s="47">
        <v>80</v>
      </c>
      <c r="B206" s="48" t="s">
        <v>38</v>
      </c>
      <c r="C206" s="78">
        <v>1991</v>
      </c>
      <c r="D206" s="72" t="s">
        <v>71</v>
      </c>
      <c r="E206" s="46" t="s">
        <v>73</v>
      </c>
      <c r="F206" s="48">
        <v>1986</v>
      </c>
      <c r="G206" s="48" t="s">
        <v>74</v>
      </c>
      <c r="H206" s="48" t="s">
        <v>39</v>
      </c>
      <c r="I206" s="48"/>
      <c r="J206" s="19" t="s">
        <v>704</v>
      </c>
      <c r="K206" s="79" t="s">
        <v>614</v>
      </c>
      <c r="L206" s="48" t="s">
        <v>58</v>
      </c>
      <c r="M206" s="48"/>
      <c r="N206" s="48"/>
      <c r="O206" s="48" t="s">
        <v>59</v>
      </c>
      <c r="P206" s="48"/>
      <c r="Q206" s="48"/>
      <c r="R206" s="48"/>
      <c r="S206" s="53"/>
      <c r="T206" s="53"/>
      <c r="U206" s="53"/>
      <c r="V206" s="53"/>
      <c r="W206" s="53"/>
      <c r="X206" s="180"/>
      <c r="Y206" s="53"/>
      <c r="Z206" s="53"/>
      <c r="AA206" s="180"/>
      <c r="AB206" s="180">
        <v>8.9</v>
      </c>
    </row>
    <row r="207" spans="1:28" ht="15" customHeight="1">
      <c r="A207" s="47">
        <v>80</v>
      </c>
      <c r="B207" s="48" t="s">
        <v>38</v>
      </c>
      <c r="C207" s="78">
        <v>1991</v>
      </c>
      <c r="D207" s="72" t="s">
        <v>71</v>
      </c>
      <c r="E207" s="46" t="s">
        <v>73</v>
      </c>
      <c r="F207" s="48">
        <v>1987</v>
      </c>
      <c r="G207" s="48" t="s">
        <v>74</v>
      </c>
      <c r="H207" s="48" t="s">
        <v>39</v>
      </c>
      <c r="I207" s="48"/>
      <c r="J207" s="19" t="s">
        <v>704</v>
      </c>
      <c r="K207" s="79" t="s">
        <v>614</v>
      </c>
      <c r="L207" s="48" t="s">
        <v>58</v>
      </c>
      <c r="M207" s="48"/>
      <c r="N207" s="48"/>
      <c r="O207" s="48" t="s">
        <v>43</v>
      </c>
      <c r="P207" s="48"/>
      <c r="Q207" s="48"/>
      <c r="R207" s="48"/>
      <c r="S207" s="53"/>
      <c r="T207" s="53"/>
      <c r="U207" s="53"/>
      <c r="V207" s="53"/>
      <c r="W207" s="53"/>
      <c r="X207" s="180"/>
      <c r="Y207" s="53"/>
      <c r="Z207" s="53"/>
      <c r="AA207" s="180"/>
      <c r="AB207" s="180">
        <v>3.3</v>
      </c>
    </row>
    <row r="208" spans="1:28" ht="15" customHeight="1">
      <c r="A208" s="47">
        <v>80</v>
      </c>
      <c r="B208" s="48" t="s">
        <v>38</v>
      </c>
      <c r="C208" s="78">
        <v>1991</v>
      </c>
      <c r="D208" s="72" t="s">
        <v>71</v>
      </c>
      <c r="E208" s="46" t="s">
        <v>76</v>
      </c>
      <c r="F208" s="48">
        <v>1987</v>
      </c>
      <c r="G208" s="48" t="s">
        <v>77</v>
      </c>
      <c r="H208" s="48" t="s">
        <v>29</v>
      </c>
      <c r="I208" s="48"/>
      <c r="J208" s="19" t="s">
        <v>706</v>
      </c>
      <c r="K208" s="48" t="s">
        <v>659</v>
      </c>
      <c r="L208" s="48" t="s">
        <v>78</v>
      </c>
      <c r="M208" s="48"/>
      <c r="N208" s="48"/>
      <c r="O208" s="48" t="s">
        <v>272</v>
      </c>
      <c r="P208" s="48"/>
      <c r="Q208" s="48"/>
      <c r="R208" s="48"/>
      <c r="S208" s="53"/>
      <c r="T208" s="53"/>
      <c r="U208" s="53"/>
      <c r="V208" s="53"/>
      <c r="W208" s="53"/>
      <c r="X208" s="180"/>
      <c r="Y208" s="53"/>
      <c r="Z208" s="53"/>
      <c r="AA208" s="180"/>
      <c r="AB208" s="180">
        <v>2.54</v>
      </c>
    </row>
    <row r="209" spans="1:28" ht="15" customHeight="1">
      <c r="A209" s="47">
        <v>80</v>
      </c>
      <c r="B209" s="48" t="s">
        <v>38</v>
      </c>
      <c r="C209" s="78">
        <v>1991</v>
      </c>
      <c r="D209" s="72" t="s">
        <v>71</v>
      </c>
      <c r="E209" s="46" t="s">
        <v>76</v>
      </c>
      <c r="F209" s="48">
        <v>1987</v>
      </c>
      <c r="G209" s="48" t="s">
        <v>79</v>
      </c>
      <c r="H209" s="48" t="s">
        <v>29</v>
      </c>
      <c r="I209" s="48"/>
      <c r="J209" s="19" t="s">
        <v>706</v>
      </c>
      <c r="K209" s="48" t="s">
        <v>659</v>
      </c>
      <c r="L209" s="48" t="s">
        <v>47</v>
      </c>
      <c r="M209" s="48"/>
      <c r="N209" s="48"/>
      <c r="O209" s="48" t="s">
        <v>274</v>
      </c>
      <c r="P209" s="48"/>
      <c r="Q209" s="48"/>
      <c r="R209" s="48"/>
      <c r="S209" s="53"/>
      <c r="T209" s="53"/>
      <c r="U209" s="53"/>
      <c r="V209" s="53"/>
      <c r="W209" s="53"/>
      <c r="X209" s="180"/>
      <c r="Y209" s="53"/>
      <c r="Z209" s="53"/>
      <c r="AA209" s="180"/>
      <c r="AB209" s="180">
        <v>0.81</v>
      </c>
    </row>
    <row r="210" spans="1:28" ht="15" customHeight="1">
      <c r="A210" s="47">
        <v>139</v>
      </c>
      <c r="B210" s="69" t="s">
        <v>38</v>
      </c>
      <c r="C210" s="69">
        <v>1990</v>
      </c>
      <c r="D210" s="63" t="s">
        <v>262</v>
      </c>
      <c r="E210" s="46" t="s">
        <v>56</v>
      </c>
      <c r="F210" s="71">
        <v>32367</v>
      </c>
      <c r="G210" s="48" t="s">
        <v>69</v>
      </c>
      <c r="H210" s="89" t="s">
        <v>550</v>
      </c>
      <c r="I210" s="48"/>
      <c r="J210" s="19" t="s">
        <v>710</v>
      </c>
      <c r="K210" s="48" t="s">
        <v>671</v>
      </c>
      <c r="L210" s="48" t="s">
        <v>68</v>
      </c>
      <c r="M210" s="48"/>
      <c r="N210" s="48"/>
      <c r="O210" s="48" t="s">
        <v>70</v>
      </c>
      <c r="P210" s="48"/>
      <c r="Q210" s="48"/>
      <c r="R210" s="48"/>
      <c r="S210" s="53"/>
      <c r="T210" s="53"/>
      <c r="U210" s="53"/>
      <c r="V210" s="53"/>
      <c r="W210" s="53"/>
      <c r="X210" s="180"/>
      <c r="Y210" s="53"/>
      <c r="Z210" s="53"/>
      <c r="AA210" s="180"/>
      <c r="AB210" s="180">
        <v>1.05</v>
      </c>
    </row>
    <row r="211" spans="1:28" ht="15" customHeight="1">
      <c r="A211" s="47">
        <v>139</v>
      </c>
      <c r="B211" s="69" t="s">
        <v>38</v>
      </c>
      <c r="C211" s="69">
        <v>1990</v>
      </c>
      <c r="D211" s="63" t="s">
        <v>262</v>
      </c>
      <c r="E211" s="46" t="s">
        <v>56</v>
      </c>
      <c r="F211" s="71">
        <v>31749</v>
      </c>
      <c r="G211" s="48" t="s">
        <v>81</v>
      </c>
      <c r="H211" s="48" t="s">
        <v>39</v>
      </c>
      <c r="I211" s="48"/>
      <c r="J211" s="19" t="s">
        <v>704</v>
      </c>
      <c r="K211" s="48" t="s">
        <v>612</v>
      </c>
      <c r="L211" s="48" t="s">
        <v>40</v>
      </c>
      <c r="M211" s="48"/>
      <c r="N211" s="48"/>
      <c r="O211" s="48" t="s">
        <v>41</v>
      </c>
      <c r="P211" s="48"/>
      <c r="Q211" s="48"/>
      <c r="R211" s="48"/>
      <c r="S211" s="53"/>
      <c r="T211" s="53"/>
      <c r="U211" s="53"/>
      <c r="V211" s="53"/>
      <c r="W211" s="53"/>
      <c r="X211" s="180"/>
      <c r="Y211" s="53"/>
      <c r="Z211" s="53"/>
      <c r="AA211" s="180"/>
      <c r="AB211" s="180">
        <v>7.2</v>
      </c>
    </row>
    <row r="212" spans="1:28" ht="15" customHeight="1">
      <c r="A212" s="47">
        <v>139</v>
      </c>
      <c r="B212" s="69" t="s">
        <v>38</v>
      </c>
      <c r="C212" s="69">
        <v>1990</v>
      </c>
      <c r="D212" s="63" t="s">
        <v>262</v>
      </c>
      <c r="E212" s="46" t="s">
        <v>56</v>
      </c>
      <c r="F212" s="71">
        <v>32017</v>
      </c>
      <c r="G212" s="48" t="s">
        <v>65</v>
      </c>
      <c r="H212" s="89" t="s">
        <v>550</v>
      </c>
      <c r="I212" s="48"/>
      <c r="J212" s="19" t="s">
        <v>710</v>
      </c>
      <c r="K212" s="48" t="s">
        <v>674</v>
      </c>
      <c r="L212" s="48" t="s">
        <v>268</v>
      </c>
      <c r="M212" s="48"/>
      <c r="N212" s="48"/>
      <c r="O212" s="48" t="s">
        <v>45</v>
      </c>
      <c r="P212" s="48"/>
      <c r="Q212" s="48"/>
      <c r="R212" s="48"/>
      <c r="S212" s="53"/>
      <c r="T212" s="53"/>
      <c r="U212" s="53"/>
      <c r="V212" s="53"/>
      <c r="W212" s="53"/>
      <c r="X212" s="180"/>
      <c r="Y212" s="53"/>
      <c r="Z212" s="53"/>
      <c r="AA212" s="180"/>
      <c r="AB212" s="180">
        <v>3.3</v>
      </c>
    </row>
    <row r="213" spans="1:28" ht="15" customHeight="1">
      <c r="A213" s="47">
        <v>139</v>
      </c>
      <c r="B213" s="69" t="s">
        <v>38</v>
      </c>
      <c r="C213" s="69">
        <v>1990</v>
      </c>
      <c r="D213" s="63" t="s">
        <v>262</v>
      </c>
      <c r="E213" s="46" t="s">
        <v>56</v>
      </c>
      <c r="F213" s="71">
        <v>31758</v>
      </c>
      <c r="G213" s="48" t="s">
        <v>265</v>
      </c>
      <c r="H213" s="48" t="s">
        <v>39</v>
      </c>
      <c r="I213" s="48"/>
      <c r="J213" s="19" t="s">
        <v>704</v>
      </c>
      <c r="K213" s="48" t="s">
        <v>612</v>
      </c>
      <c r="L213" s="48" t="s">
        <v>42</v>
      </c>
      <c r="M213" s="48"/>
      <c r="N213" s="48"/>
      <c r="O213" s="48" t="s">
        <v>59</v>
      </c>
      <c r="P213" s="48"/>
      <c r="Q213" s="48"/>
      <c r="R213" s="48"/>
      <c r="S213" s="53"/>
      <c r="T213" s="53"/>
      <c r="U213" s="53"/>
      <c r="V213" s="53"/>
      <c r="W213" s="53"/>
      <c r="X213" s="180"/>
      <c r="Y213" s="53"/>
      <c r="Z213" s="53"/>
      <c r="AA213" s="180"/>
      <c r="AB213" s="180">
        <v>8.9</v>
      </c>
    </row>
    <row r="214" spans="1:28" ht="15" customHeight="1">
      <c r="A214" s="47">
        <v>139</v>
      </c>
      <c r="B214" s="69" t="s">
        <v>38</v>
      </c>
      <c r="C214" s="69">
        <v>1990</v>
      </c>
      <c r="D214" s="63" t="s">
        <v>262</v>
      </c>
      <c r="E214" s="46" t="s">
        <v>56</v>
      </c>
      <c r="F214" s="73">
        <v>31950</v>
      </c>
      <c r="G214" s="74" t="s">
        <v>265</v>
      </c>
      <c r="H214" s="74" t="s">
        <v>39</v>
      </c>
      <c r="I214" s="74"/>
      <c r="J214" s="19" t="s">
        <v>704</v>
      </c>
      <c r="K214" s="74" t="s">
        <v>612</v>
      </c>
      <c r="L214" s="75" t="s">
        <v>42</v>
      </c>
      <c r="M214" s="75"/>
      <c r="N214" s="75"/>
      <c r="O214" s="48" t="s">
        <v>43</v>
      </c>
      <c r="P214" s="75"/>
      <c r="Q214" s="75"/>
      <c r="R214" s="48"/>
      <c r="S214" s="53"/>
      <c r="T214" s="53"/>
      <c r="U214" s="77"/>
      <c r="V214" s="76"/>
      <c r="W214" s="76"/>
      <c r="X214" s="181"/>
      <c r="Y214" s="76"/>
      <c r="Z214" s="76"/>
      <c r="AA214" s="181"/>
      <c r="AB214" s="181">
        <v>3.3</v>
      </c>
    </row>
    <row r="215" spans="1:28" ht="15" customHeight="1">
      <c r="A215" s="47">
        <v>139</v>
      </c>
      <c r="B215" s="69" t="s">
        <v>38</v>
      </c>
      <c r="C215" s="69">
        <v>1990</v>
      </c>
      <c r="D215" s="63" t="s">
        <v>262</v>
      </c>
      <c r="E215" s="46" t="s">
        <v>56</v>
      </c>
      <c r="F215" s="71">
        <v>32022</v>
      </c>
      <c r="G215" s="48" t="s">
        <v>270</v>
      </c>
      <c r="H215" s="48" t="s">
        <v>29</v>
      </c>
      <c r="I215" s="48" t="s">
        <v>590</v>
      </c>
      <c r="J215" s="19" t="s">
        <v>706</v>
      </c>
      <c r="K215" s="48" t="s">
        <v>659</v>
      </c>
      <c r="L215" s="48" t="s">
        <v>271</v>
      </c>
      <c r="M215" s="48"/>
      <c r="N215" s="48"/>
      <c r="O215" s="48" t="s">
        <v>272</v>
      </c>
      <c r="P215" s="48"/>
      <c r="Q215" s="48"/>
      <c r="R215" s="48"/>
      <c r="S215" s="53"/>
      <c r="T215" s="53"/>
      <c r="U215" s="53"/>
      <c r="V215" s="53"/>
      <c r="W215" s="53"/>
      <c r="X215" s="180"/>
      <c r="Y215" s="53"/>
      <c r="Z215" s="53"/>
      <c r="AA215" s="180"/>
      <c r="AB215" s="180">
        <v>2.54</v>
      </c>
    </row>
    <row r="216" spans="1:28" ht="15" customHeight="1">
      <c r="A216" s="47">
        <v>139</v>
      </c>
      <c r="B216" s="69" t="s">
        <v>38</v>
      </c>
      <c r="C216" s="69">
        <v>1990</v>
      </c>
      <c r="D216" s="63" t="s">
        <v>262</v>
      </c>
      <c r="E216" s="46" t="s">
        <v>56</v>
      </c>
      <c r="F216" s="48" t="s">
        <v>273</v>
      </c>
      <c r="G216" s="48" t="s">
        <v>79</v>
      </c>
      <c r="H216" s="48" t="s">
        <v>29</v>
      </c>
      <c r="I216" s="48" t="s">
        <v>590</v>
      </c>
      <c r="J216" s="19" t="s">
        <v>706</v>
      </c>
      <c r="K216" s="48" t="s">
        <v>659</v>
      </c>
      <c r="L216" s="48" t="s">
        <v>605</v>
      </c>
      <c r="M216" s="48"/>
      <c r="N216" s="48"/>
      <c r="O216" s="48" t="s">
        <v>274</v>
      </c>
      <c r="P216" s="48"/>
      <c r="Q216" s="48"/>
      <c r="R216" s="48"/>
      <c r="S216" s="53"/>
      <c r="T216" s="53"/>
      <c r="U216" s="53"/>
      <c r="V216" s="53"/>
      <c r="W216" s="53"/>
      <c r="X216" s="180"/>
      <c r="Y216" s="53"/>
      <c r="Z216" s="53"/>
      <c r="AA216" s="180"/>
      <c r="AB216" s="180">
        <v>0.81</v>
      </c>
    </row>
    <row r="217" spans="1:28" ht="15" customHeight="1">
      <c r="A217" s="47"/>
      <c r="B217" s="69"/>
      <c r="C217" s="69"/>
      <c r="D217" s="63"/>
      <c r="E217" s="46"/>
      <c r="F217" s="71"/>
      <c r="G217" s="48"/>
      <c r="H217" s="48"/>
      <c r="I217" s="48"/>
      <c r="K217" s="48"/>
      <c r="L217" s="48"/>
      <c r="M217" s="48"/>
      <c r="N217" s="48"/>
      <c r="O217" s="48"/>
      <c r="P217" s="48"/>
      <c r="Q217" s="48"/>
      <c r="R217" s="48"/>
      <c r="S217" s="53"/>
      <c r="T217" s="53"/>
      <c r="U217" s="53"/>
      <c r="V217" s="53"/>
      <c r="W217" s="53"/>
      <c r="X217" s="180"/>
      <c r="Y217" s="53"/>
      <c r="Z217" s="53"/>
      <c r="AA217" s="180"/>
      <c r="AB217" s="180"/>
    </row>
    <row r="218" spans="1:28">
      <c r="A218" s="19" t="s">
        <v>780</v>
      </c>
    </row>
    <row r="219" spans="1:28" ht="15" customHeight="1">
      <c r="A219" s="47">
        <v>88</v>
      </c>
      <c r="B219" s="64" t="s">
        <v>95</v>
      </c>
      <c r="C219" s="65">
        <v>1992</v>
      </c>
      <c r="D219" s="64" t="s">
        <v>96</v>
      </c>
      <c r="E219" s="46" t="s">
        <v>73</v>
      </c>
      <c r="F219" s="48">
        <v>1989</v>
      </c>
      <c r="G219" s="48" t="s">
        <v>85</v>
      </c>
      <c r="H219" s="89" t="s">
        <v>550</v>
      </c>
      <c r="I219" s="48"/>
      <c r="J219" s="19" t="s">
        <v>672</v>
      </c>
      <c r="K219" s="48" t="s">
        <v>672</v>
      </c>
      <c r="L219" s="48" t="s">
        <v>111</v>
      </c>
      <c r="M219" s="48"/>
      <c r="N219" s="48"/>
      <c r="O219" s="48" t="s">
        <v>112</v>
      </c>
      <c r="P219" s="48"/>
      <c r="Q219" s="48"/>
      <c r="R219" s="48"/>
      <c r="S219" s="53"/>
      <c r="T219" s="53"/>
      <c r="U219" s="53"/>
      <c r="V219" s="53"/>
      <c r="W219" s="53"/>
      <c r="X219" s="180"/>
      <c r="Y219" s="53"/>
      <c r="Z219" s="53"/>
      <c r="AA219" s="180"/>
      <c r="AB219" s="180">
        <v>0.37</v>
      </c>
    </row>
    <row r="220" spans="1:28" ht="15" customHeight="1">
      <c r="A220" s="47">
        <v>88</v>
      </c>
      <c r="B220" s="64" t="s">
        <v>95</v>
      </c>
      <c r="C220" s="65">
        <v>1992</v>
      </c>
      <c r="D220" s="64" t="s">
        <v>96</v>
      </c>
      <c r="E220" s="46" t="s">
        <v>73</v>
      </c>
      <c r="F220" s="48">
        <v>1986</v>
      </c>
      <c r="G220" s="48" t="s">
        <v>81</v>
      </c>
      <c r="H220" s="48" t="s">
        <v>39</v>
      </c>
      <c r="I220" s="48"/>
      <c r="J220" s="19" t="s">
        <v>704</v>
      </c>
      <c r="K220" s="48" t="s">
        <v>712</v>
      </c>
      <c r="L220" s="48" t="s">
        <v>98</v>
      </c>
      <c r="M220" s="48"/>
      <c r="N220" s="48"/>
      <c r="O220" s="48" t="s">
        <v>41</v>
      </c>
      <c r="P220" s="48"/>
      <c r="Q220" s="48"/>
      <c r="R220" s="48"/>
      <c r="S220" s="53"/>
      <c r="T220" s="53"/>
      <c r="U220" s="53"/>
      <c r="V220" s="53"/>
      <c r="W220" s="53"/>
      <c r="X220" s="180"/>
      <c r="Y220" s="53"/>
      <c r="Z220" s="53"/>
      <c r="AA220" s="180"/>
      <c r="AB220" s="180">
        <v>14.5</v>
      </c>
    </row>
    <row r="221" spans="1:28" ht="15" customHeight="1">
      <c r="A221" s="57">
        <v>88</v>
      </c>
      <c r="B221" s="68" t="s">
        <v>95</v>
      </c>
      <c r="C221" s="67">
        <v>1992</v>
      </c>
      <c r="D221" s="68" t="s">
        <v>96</v>
      </c>
      <c r="E221" s="60" t="s">
        <v>76</v>
      </c>
      <c r="F221" s="58">
        <v>1990</v>
      </c>
      <c r="G221" s="58" t="s">
        <v>115</v>
      </c>
      <c r="H221" s="58" t="s">
        <v>116</v>
      </c>
      <c r="I221" s="58" t="s">
        <v>590</v>
      </c>
      <c r="J221" s="19" t="s">
        <v>710</v>
      </c>
      <c r="K221" s="58" t="s">
        <v>676</v>
      </c>
      <c r="L221" s="58" t="s">
        <v>117</v>
      </c>
      <c r="M221" s="58"/>
      <c r="N221" s="58"/>
      <c r="O221" s="58" t="s">
        <v>118</v>
      </c>
      <c r="P221" s="58"/>
      <c r="Q221" s="58"/>
      <c r="R221" s="58"/>
      <c r="S221" s="62"/>
      <c r="T221" s="62"/>
      <c r="U221" s="62"/>
      <c r="V221" s="62"/>
      <c r="W221" s="62"/>
      <c r="X221" s="187"/>
      <c r="Y221" s="62"/>
      <c r="Z221" s="62"/>
      <c r="AA221" s="187"/>
      <c r="AB221" s="187">
        <v>1.6</v>
      </c>
    </row>
    <row r="222" spans="1:28" ht="15" customHeight="1">
      <c r="A222" s="47">
        <v>88</v>
      </c>
      <c r="B222" s="64" t="s">
        <v>95</v>
      </c>
      <c r="C222" s="65">
        <v>1992</v>
      </c>
      <c r="D222" s="64" t="s">
        <v>96</v>
      </c>
      <c r="E222" s="46" t="s">
        <v>73</v>
      </c>
      <c r="F222" s="48">
        <v>1987</v>
      </c>
      <c r="G222" s="48" t="s">
        <v>74</v>
      </c>
      <c r="H222" s="48" t="s">
        <v>39</v>
      </c>
      <c r="I222" s="48"/>
      <c r="J222" s="19" t="s">
        <v>704</v>
      </c>
      <c r="K222" s="48" t="s">
        <v>629</v>
      </c>
      <c r="L222" s="48" t="s">
        <v>99</v>
      </c>
      <c r="M222" s="48"/>
      <c r="N222" s="48"/>
      <c r="O222" s="96" t="s">
        <v>778</v>
      </c>
      <c r="P222" s="48"/>
      <c r="Q222" s="48"/>
      <c r="R222" s="48"/>
      <c r="S222" s="53"/>
      <c r="T222" s="53"/>
      <c r="U222" s="53"/>
      <c r="V222" s="53"/>
      <c r="W222" s="53"/>
      <c r="X222" s="180"/>
      <c r="Y222" s="53"/>
      <c r="Z222" s="53"/>
      <c r="AA222" s="180"/>
      <c r="AB222" s="180">
        <v>4.2</v>
      </c>
    </row>
    <row r="223" spans="1:28" ht="15" customHeight="1">
      <c r="A223" s="47">
        <v>88</v>
      </c>
      <c r="B223" s="64" t="s">
        <v>95</v>
      </c>
      <c r="C223" s="65">
        <v>1992</v>
      </c>
      <c r="D223" s="64" t="s">
        <v>96</v>
      </c>
      <c r="E223" s="46" t="s">
        <v>73</v>
      </c>
      <c r="F223" s="48">
        <v>1986</v>
      </c>
      <c r="G223" s="48" t="s">
        <v>74</v>
      </c>
      <c r="H223" s="48" t="s">
        <v>39</v>
      </c>
      <c r="I223" s="48"/>
      <c r="J223" s="19" t="s">
        <v>704</v>
      </c>
      <c r="K223" s="48" t="s">
        <v>629</v>
      </c>
      <c r="L223" s="48" t="s">
        <v>99</v>
      </c>
      <c r="M223" s="48"/>
      <c r="N223" s="48"/>
      <c r="O223" s="96" t="s">
        <v>779</v>
      </c>
      <c r="P223" s="48"/>
      <c r="Q223" s="48"/>
      <c r="R223" s="48"/>
      <c r="S223" s="53"/>
      <c r="T223" s="53"/>
      <c r="U223" s="53"/>
      <c r="V223" s="53"/>
      <c r="W223" s="53"/>
      <c r="X223" s="180"/>
      <c r="Y223" s="53"/>
      <c r="Z223" s="53"/>
      <c r="AA223" s="180"/>
      <c r="AB223" s="180">
        <v>8.5</v>
      </c>
    </row>
    <row r="224" spans="1:28" ht="15" customHeight="1">
      <c r="A224" s="47">
        <v>88</v>
      </c>
      <c r="B224" s="64" t="s">
        <v>95</v>
      </c>
      <c r="C224" s="65">
        <v>1992</v>
      </c>
      <c r="D224" s="64" t="s">
        <v>96</v>
      </c>
      <c r="E224" s="46" t="s">
        <v>76</v>
      </c>
      <c r="F224" s="48">
        <v>1987</v>
      </c>
      <c r="G224" s="48" t="s">
        <v>79</v>
      </c>
      <c r="H224" s="48" t="s">
        <v>29</v>
      </c>
      <c r="I224" s="48" t="s">
        <v>590</v>
      </c>
      <c r="J224" s="19" t="s">
        <v>706</v>
      </c>
      <c r="K224" s="48" t="s">
        <v>659</v>
      </c>
      <c r="L224" s="48" t="s">
        <v>634</v>
      </c>
      <c r="M224" s="48"/>
      <c r="N224" s="48"/>
      <c r="O224" s="48" t="s">
        <v>48</v>
      </c>
      <c r="P224" s="48"/>
      <c r="Q224" s="48"/>
      <c r="R224" s="48"/>
      <c r="S224" s="53"/>
      <c r="T224" s="53"/>
      <c r="U224" s="53"/>
      <c r="V224" s="53"/>
      <c r="W224" s="53"/>
      <c r="X224" s="180"/>
      <c r="Y224" s="53"/>
      <c r="Z224" s="53"/>
      <c r="AA224" s="180"/>
      <c r="AB224" s="180">
        <v>0.92</v>
      </c>
    </row>
    <row r="225" spans="1:28" ht="15" customHeight="1">
      <c r="A225" s="47">
        <v>88</v>
      </c>
      <c r="B225" s="64" t="s">
        <v>95</v>
      </c>
      <c r="C225" s="65">
        <v>1992</v>
      </c>
      <c r="D225" s="64" t="s">
        <v>96</v>
      </c>
      <c r="E225" s="46" t="s">
        <v>73</v>
      </c>
      <c r="F225" s="48">
        <v>1987</v>
      </c>
      <c r="G225" s="48" t="s">
        <v>65</v>
      </c>
      <c r="H225" s="89" t="s">
        <v>550</v>
      </c>
      <c r="I225" s="48"/>
      <c r="J225" s="19" t="s">
        <v>673</v>
      </c>
      <c r="K225" s="48" t="s">
        <v>673</v>
      </c>
      <c r="L225" s="48" t="s">
        <v>102</v>
      </c>
      <c r="M225" s="48"/>
      <c r="N225" s="48"/>
      <c r="O225" s="48" t="s">
        <v>45</v>
      </c>
      <c r="P225" s="48"/>
      <c r="Q225" s="48"/>
      <c r="R225" s="48"/>
      <c r="S225" s="53"/>
      <c r="T225" s="53"/>
      <c r="U225" s="53"/>
      <c r="V225" s="53"/>
      <c r="W225" s="53"/>
      <c r="X225" s="180"/>
      <c r="Y225" s="53"/>
      <c r="Z225" s="53"/>
      <c r="AA225" s="180"/>
      <c r="AB225" s="180">
        <v>2.6</v>
      </c>
    </row>
    <row r="226" spans="1:28" ht="15" customHeight="1">
      <c r="A226" s="47">
        <v>88</v>
      </c>
      <c r="B226" s="64" t="s">
        <v>95</v>
      </c>
      <c r="C226" s="65">
        <v>1992</v>
      </c>
      <c r="D226" s="64" t="s">
        <v>96</v>
      </c>
      <c r="E226" s="46" t="s">
        <v>73</v>
      </c>
      <c r="F226" s="48">
        <v>1988</v>
      </c>
      <c r="G226" s="48" t="s">
        <v>69</v>
      </c>
      <c r="H226" s="89" t="s">
        <v>550</v>
      </c>
      <c r="I226" s="48"/>
      <c r="J226" s="19" t="s">
        <v>710</v>
      </c>
      <c r="K226" s="48" t="s">
        <v>671</v>
      </c>
      <c r="L226" s="48" t="s">
        <v>108</v>
      </c>
      <c r="M226" s="48"/>
      <c r="N226" s="48"/>
      <c r="O226" s="48" t="s">
        <v>70</v>
      </c>
      <c r="P226" s="48"/>
      <c r="Q226" s="48"/>
      <c r="R226" s="48"/>
      <c r="S226" s="53"/>
      <c r="T226" s="53"/>
      <c r="U226" s="53"/>
      <c r="V226" s="53"/>
      <c r="W226" s="53"/>
      <c r="X226" s="180"/>
      <c r="Y226" s="53"/>
      <c r="Z226" s="53"/>
      <c r="AA226" s="180"/>
      <c r="AB226" s="180">
        <v>2.5</v>
      </c>
    </row>
    <row r="227" spans="1:28" ht="15" customHeight="1">
      <c r="A227" s="47">
        <v>88</v>
      </c>
      <c r="B227" s="64" t="s">
        <v>95</v>
      </c>
      <c r="C227" s="65">
        <v>1992</v>
      </c>
      <c r="D227" s="64" t="s">
        <v>96</v>
      </c>
      <c r="E227" s="46" t="s">
        <v>73</v>
      </c>
      <c r="F227" s="48">
        <v>1988</v>
      </c>
      <c r="G227" s="48" t="s">
        <v>69</v>
      </c>
      <c r="H227" s="89" t="s">
        <v>550</v>
      </c>
      <c r="I227" s="48"/>
      <c r="J227" s="19" t="s">
        <v>710</v>
      </c>
      <c r="K227" s="48" t="s">
        <v>671</v>
      </c>
      <c r="L227" s="48" t="s">
        <v>108</v>
      </c>
      <c r="M227" s="48"/>
      <c r="N227" s="48"/>
      <c r="O227" s="48" t="s">
        <v>109</v>
      </c>
      <c r="P227" s="48"/>
      <c r="Q227" s="48"/>
      <c r="R227" s="48"/>
      <c r="S227" s="53"/>
      <c r="T227" s="53"/>
      <c r="U227" s="53"/>
      <c r="V227" s="53"/>
      <c r="W227" s="53"/>
      <c r="X227" s="180"/>
      <c r="Y227" s="53"/>
      <c r="Z227" s="53"/>
      <c r="AA227" s="180"/>
      <c r="AB227" s="180">
        <v>2.7</v>
      </c>
    </row>
    <row r="228" spans="1:28" ht="15" customHeight="1">
      <c r="A228" s="47">
        <v>88</v>
      </c>
      <c r="B228" s="64" t="s">
        <v>95</v>
      </c>
      <c r="C228" s="65">
        <v>1992</v>
      </c>
      <c r="D228" s="64" t="s">
        <v>96</v>
      </c>
      <c r="E228" s="46" t="s">
        <v>73</v>
      </c>
      <c r="F228" s="48">
        <v>1989</v>
      </c>
      <c r="G228" s="48" t="s">
        <v>65</v>
      </c>
      <c r="H228" s="89" t="s">
        <v>550</v>
      </c>
      <c r="I228" s="48"/>
      <c r="J228" s="19" t="s">
        <v>672</v>
      </c>
      <c r="K228" s="48" t="s">
        <v>672</v>
      </c>
      <c r="L228" s="48" t="s">
        <v>110</v>
      </c>
      <c r="M228" s="48"/>
      <c r="N228" s="48"/>
      <c r="O228" s="48" t="s">
        <v>84</v>
      </c>
      <c r="P228" s="48"/>
      <c r="Q228" s="48"/>
      <c r="R228" s="48"/>
      <c r="S228" s="53"/>
      <c r="T228" s="53"/>
      <c r="U228" s="53"/>
      <c r="V228" s="53"/>
      <c r="W228" s="53"/>
      <c r="X228" s="180"/>
      <c r="Y228" s="53"/>
      <c r="Z228" s="53"/>
      <c r="AA228" s="180"/>
      <c r="AB228" s="180">
        <v>0.3</v>
      </c>
    </row>
    <row r="229" spans="1:28" ht="15" customHeight="1">
      <c r="A229" s="47">
        <v>88</v>
      </c>
      <c r="B229" s="64" t="s">
        <v>95</v>
      </c>
      <c r="C229" s="65">
        <v>1992</v>
      </c>
      <c r="D229" s="64" t="s">
        <v>96</v>
      </c>
      <c r="E229" s="46" t="s">
        <v>76</v>
      </c>
      <c r="F229" s="48">
        <v>1987</v>
      </c>
      <c r="G229" s="48" t="s">
        <v>77</v>
      </c>
      <c r="H229" s="48" t="s">
        <v>29</v>
      </c>
      <c r="I229" s="48" t="s">
        <v>590</v>
      </c>
      <c r="J229" s="19" t="s">
        <v>706</v>
      </c>
      <c r="K229" s="48" t="s">
        <v>659</v>
      </c>
      <c r="L229" s="48" t="s">
        <v>103</v>
      </c>
      <c r="M229" s="48"/>
      <c r="N229" s="48"/>
      <c r="O229" s="48" t="s">
        <v>104</v>
      </c>
      <c r="P229" s="48"/>
      <c r="Q229" s="48"/>
      <c r="R229" s="48"/>
      <c r="S229" s="53"/>
      <c r="T229" s="53"/>
      <c r="U229" s="53"/>
      <c r="V229" s="53"/>
      <c r="W229" s="53"/>
      <c r="X229" s="180"/>
      <c r="Y229" s="53"/>
      <c r="Z229" s="53"/>
      <c r="AA229" s="180"/>
      <c r="AB229" s="180">
        <v>2.2999999999999998</v>
      </c>
    </row>
    <row r="230" spans="1:28" ht="15" customHeight="1">
      <c r="A230" s="47">
        <v>88</v>
      </c>
      <c r="B230" s="64" t="s">
        <v>95</v>
      </c>
      <c r="C230" s="65">
        <v>1992</v>
      </c>
      <c r="D230" s="64" t="s">
        <v>96</v>
      </c>
      <c r="E230" s="46" t="s">
        <v>73</v>
      </c>
      <c r="F230" s="48">
        <v>1987</v>
      </c>
      <c r="G230" s="48" t="s">
        <v>106</v>
      </c>
      <c r="H230" s="48" t="s">
        <v>49</v>
      </c>
      <c r="I230" s="48"/>
      <c r="J230" s="19" t="s">
        <v>706</v>
      </c>
      <c r="K230" s="48" t="s">
        <v>659</v>
      </c>
      <c r="L230" s="48" t="s">
        <v>107</v>
      </c>
      <c r="M230" s="48"/>
      <c r="N230" s="48"/>
      <c r="O230" s="48" t="s">
        <v>50</v>
      </c>
      <c r="P230" s="48"/>
      <c r="Q230" s="48"/>
      <c r="R230" s="48"/>
      <c r="S230" s="53"/>
      <c r="T230" s="53"/>
      <c r="U230" s="53"/>
      <c r="V230" s="53"/>
      <c r="W230" s="53"/>
      <c r="X230" s="180"/>
      <c r="Y230" s="53"/>
      <c r="Z230" s="53"/>
      <c r="AA230" s="180"/>
      <c r="AB230" s="180">
        <v>1.8</v>
      </c>
    </row>
  </sheetData>
  <sortState ref="A2:AB145">
    <sortCondition ref="A2:A145"/>
    <sortCondition ref="B2:B145"/>
    <sortCondition ref="L2:L145"/>
    <sortCondition ref="O2:O145"/>
  </sortState>
  <phoneticPr fontId="22" type="noConversion"/>
  <dataValidations count="1">
    <dataValidation showInputMessage="1" showErrorMessage="1" sqref="A1:A9"/>
  </dataValidations>
  <pageMargins left="0.75" right="0.75" top="1" bottom="1" header="0.5" footer="0.5"/>
  <pageSetup scale="48" fitToHeight="4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A24" sqref="A24"/>
    </sheetView>
  </sheetViews>
  <sheetFormatPr baseColWidth="10" defaultColWidth="11" defaultRowHeight="15" x14ac:dyDescent="0"/>
  <cols>
    <col min="2" max="2" width="18.83203125" bestFit="1" customWidth="1"/>
    <col min="3" max="3" width="11" style="22"/>
    <col min="4" max="4" width="132.1640625" bestFit="1" customWidth="1"/>
    <col min="5" max="5" width="86" bestFit="1" customWidth="1"/>
  </cols>
  <sheetData>
    <row r="1" spans="1:5">
      <c r="A1" t="s">
        <v>596</v>
      </c>
    </row>
    <row r="2" spans="1:5">
      <c r="B2" t="s">
        <v>552</v>
      </c>
      <c r="C2" s="22">
        <v>2011</v>
      </c>
    </row>
    <row r="3" spans="1:5">
      <c r="A3" s="1">
        <v>172</v>
      </c>
      <c r="B3" s="3" t="s">
        <v>302</v>
      </c>
      <c r="C3" s="24">
        <v>2010</v>
      </c>
      <c r="D3" s="3" t="s">
        <v>303</v>
      </c>
      <c r="E3" s="10" t="s">
        <v>304</v>
      </c>
    </row>
    <row r="4" spans="1:5">
      <c r="A4" s="1">
        <v>173</v>
      </c>
      <c r="B4" s="33" t="s">
        <v>302</v>
      </c>
      <c r="C4" s="24">
        <v>2011</v>
      </c>
      <c r="D4" s="8" t="s">
        <v>352</v>
      </c>
      <c r="E4" s="10" t="s">
        <v>353</v>
      </c>
    </row>
    <row r="5" spans="1:5">
      <c r="A5" s="1">
        <v>197</v>
      </c>
      <c r="B5" s="16" t="s">
        <v>466</v>
      </c>
      <c r="C5" s="30">
        <v>2007</v>
      </c>
      <c r="D5" s="16" t="s">
        <v>513</v>
      </c>
      <c r="E5" s="16" t="s">
        <v>514</v>
      </c>
    </row>
    <row r="6" spans="1:5">
      <c r="A6" s="1">
        <v>182</v>
      </c>
      <c r="B6" s="10" t="s">
        <v>466</v>
      </c>
      <c r="C6" s="30">
        <v>2010</v>
      </c>
      <c r="D6" s="16" t="s">
        <v>467</v>
      </c>
      <c r="E6" s="10" t="s">
        <v>468</v>
      </c>
    </row>
    <row r="7" spans="1:5">
      <c r="A7" s="1">
        <v>144</v>
      </c>
      <c r="B7" s="2" t="s">
        <v>36</v>
      </c>
      <c r="C7" s="31">
        <v>1980</v>
      </c>
      <c r="D7" s="2" t="s">
        <v>287</v>
      </c>
      <c r="E7" s="8" t="s">
        <v>288</v>
      </c>
    </row>
    <row r="8" spans="1:5">
      <c r="A8" s="1">
        <v>119</v>
      </c>
      <c r="B8" s="2" t="s">
        <v>199</v>
      </c>
      <c r="C8" s="31">
        <v>2000</v>
      </c>
      <c r="D8" s="2" t="s">
        <v>205</v>
      </c>
      <c r="E8" s="2" t="s">
        <v>206</v>
      </c>
    </row>
    <row r="9" spans="1:5">
      <c r="A9" s="1">
        <v>63</v>
      </c>
      <c r="B9" s="2" t="s">
        <v>53</v>
      </c>
      <c r="C9" s="31">
        <v>1989</v>
      </c>
      <c r="D9" s="2" t="s">
        <v>54</v>
      </c>
      <c r="E9" s="2" t="s">
        <v>55</v>
      </c>
    </row>
    <row r="10" spans="1:5">
      <c r="A10" s="1">
        <v>203</v>
      </c>
      <c r="B10" s="16" t="s">
        <v>527</v>
      </c>
      <c r="C10" s="30">
        <v>2011</v>
      </c>
      <c r="D10" s="16" t="s">
        <v>528</v>
      </c>
      <c r="E10" s="10" t="s">
        <v>529</v>
      </c>
    </row>
    <row r="11" spans="1:5">
      <c r="A11" s="19"/>
      <c r="B11" s="34" t="s">
        <v>563</v>
      </c>
      <c r="C11" s="27">
        <v>1996</v>
      </c>
      <c r="D11" s="19"/>
      <c r="E11" s="19"/>
    </row>
    <row r="12" spans="1:5">
      <c r="A12" s="1">
        <v>88</v>
      </c>
      <c r="B12" s="16" t="s">
        <v>95</v>
      </c>
      <c r="C12" s="30">
        <v>1992</v>
      </c>
      <c r="D12" s="16" t="s">
        <v>96</v>
      </c>
      <c r="E12" s="16" t="s">
        <v>97</v>
      </c>
    </row>
    <row r="13" spans="1:5">
      <c r="A13" s="1">
        <v>174</v>
      </c>
      <c r="B13" s="3" t="s">
        <v>407</v>
      </c>
      <c r="C13" s="24">
        <v>2009</v>
      </c>
      <c r="D13" s="8" t="s">
        <v>408</v>
      </c>
      <c r="E13" s="10" t="s">
        <v>409</v>
      </c>
    </row>
    <row r="14" spans="1:5">
      <c r="A14" s="1">
        <v>142</v>
      </c>
      <c r="B14" s="35" t="s">
        <v>281</v>
      </c>
      <c r="C14" s="24">
        <v>2007</v>
      </c>
      <c r="D14" s="6" t="s">
        <v>282</v>
      </c>
      <c r="E14" s="8" t="s">
        <v>283</v>
      </c>
    </row>
    <row r="15" spans="1:5">
      <c r="A15" s="20"/>
      <c r="B15" s="20" t="s">
        <v>537</v>
      </c>
      <c r="C15" s="26">
        <v>1993</v>
      </c>
      <c r="D15" s="21"/>
      <c r="E15" s="21"/>
    </row>
    <row r="16" spans="1:5">
      <c r="A16" s="1">
        <v>139</v>
      </c>
      <c r="B16" s="2" t="s">
        <v>38</v>
      </c>
      <c r="C16" s="31">
        <v>1990</v>
      </c>
      <c r="D16" s="8" t="s">
        <v>262</v>
      </c>
      <c r="E16" s="8" t="s">
        <v>263</v>
      </c>
    </row>
    <row r="17" spans="1:5">
      <c r="A17" s="1">
        <v>80</v>
      </c>
      <c r="B17" s="33" t="s">
        <v>38</v>
      </c>
      <c r="C17" s="32">
        <v>1991</v>
      </c>
      <c r="D17" s="12" t="s">
        <v>71</v>
      </c>
      <c r="E17" s="12" t="s">
        <v>72</v>
      </c>
    </row>
    <row r="18" spans="1:5">
      <c r="B18" t="s">
        <v>549</v>
      </c>
      <c r="C18" s="22">
        <v>2011</v>
      </c>
      <c r="D18" t="s">
        <v>551</v>
      </c>
    </row>
    <row r="19" spans="1:5">
      <c r="A19" s="20"/>
      <c r="B19" s="33" t="s">
        <v>540</v>
      </c>
      <c r="C19" s="24">
        <v>2013</v>
      </c>
      <c r="D19" s="8" t="s">
        <v>541</v>
      </c>
      <c r="E19" s="10" t="s">
        <v>542</v>
      </c>
    </row>
    <row r="20" spans="1:5">
      <c r="A20" s="1">
        <v>37</v>
      </c>
      <c r="B20" s="2" t="s">
        <v>23</v>
      </c>
      <c r="C20" s="31">
        <v>1982</v>
      </c>
      <c r="D20" s="2" t="s">
        <v>27</v>
      </c>
      <c r="E20" s="2" t="s">
        <v>25</v>
      </c>
    </row>
    <row r="21" spans="1:5">
      <c r="A21" s="1">
        <v>112</v>
      </c>
      <c r="B21" s="11" t="s">
        <v>122</v>
      </c>
      <c r="C21" s="25">
        <v>1996</v>
      </c>
      <c r="D21" s="11" t="s">
        <v>123</v>
      </c>
      <c r="E21" s="11" t="s">
        <v>124</v>
      </c>
    </row>
    <row r="23" spans="1:5">
      <c r="A23" t="s">
        <v>597</v>
      </c>
    </row>
  </sheetData>
  <dataValidations count="1">
    <dataValidation showInputMessage="1" showErrorMessage="1" sqref="A2:A3"/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131"/>
  <sheetViews>
    <sheetView workbookViewId="0"/>
  </sheetViews>
  <sheetFormatPr baseColWidth="10" defaultRowHeight="15" x14ac:dyDescent="0"/>
  <cols>
    <col min="1" max="1" width="16.33203125" bestFit="1" customWidth="1"/>
    <col min="2" max="2" width="38.5" bestFit="1" customWidth="1"/>
  </cols>
  <sheetData>
    <row r="1" spans="1:2">
      <c r="A1" s="36" t="s">
        <v>702</v>
      </c>
      <c r="B1" s="36" t="s">
        <v>606</v>
      </c>
    </row>
    <row r="2" spans="1:2">
      <c r="A2" s="39" t="s">
        <v>747</v>
      </c>
      <c r="B2" s="39" t="s">
        <v>646</v>
      </c>
    </row>
    <row r="3" spans="1:2">
      <c r="A3" s="86" t="s">
        <v>710</v>
      </c>
      <c r="B3" s="48" t="s">
        <v>438</v>
      </c>
    </row>
    <row r="4" spans="1:2">
      <c r="A4" s="98" t="s">
        <v>710</v>
      </c>
      <c r="B4" s="98" t="s">
        <v>676</v>
      </c>
    </row>
    <row r="5" spans="1:2">
      <c r="A5" s="86" t="s">
        <v>710</v>
      </c>
      <c r="B5" s="48" t="s">
        <v>677</v>
      </c>
    </row>
    <row r="6" spans="1:2">
      <c r="A6" s="39" t="s">
        <v>710</v>
      </c>
      <c r="B6" s="39" t="s">
        <v>720</v>
      </c>
    </row>
    <row r="7" spans="1:2">
      <c r="A7" s="39" t="s">
        <v>710</v>
      </c>
      <c r="B7" s="39" t="s">
        <v>671</v>
      </c>
    </row>
    <row r="8" spans="1:2">
      <c r="A8" s="86" t="s">
        <v>710</v>
      </c>
      <c r="B8" s="48" t="s">
        <v>674</v>
      </c>
    </row>
    <row r="9" spans="1:2">
      <c r="A9" s="39" t="s">
        <v>750</v>
      </c>
      <c r="B9" s="39" t="s">
        <v>626</v>
      </c>
    </row>
    <row r="10" spans="1:2">
      <c r="A10" s="86" t="s">
        <v>750</v>
      </c>
      <c r="B10" s="48" t="s">
        <v>675</v>
      </c>
    </row>
    <row r="11" spans="1:2">
      <c r="A11" s="39" t="s">
        <v>750</v>
      </c>
      <c r="B11" s="39" t="s">
        <v>731</v>
      </c>
    </row>
    <row r="12" spans="1:2">
      <c r="A12" s="39" t="s">
        <v>750</v>
      </c>
      <c r="B12" s="39" t="s">
        <v>719</v>
      </c>
    </row>
    <row r="13" spans="1:2">
      <c r="A13" s="39" t="s">
        <v>751</v>
      </c>
      <c r="B13" s="39" t="s">
        <v>607</v>
      </c>
    </row>
    <row r="14" spans="1:2">
      <c r="A14" s="3" t="s">
        <v>672</v>
      </c>
      <c r="B14" s="3" t="s">
        <v>672</v>
      </c>
    </row>
    <row r="15" spans="1:2">
      <c r="A15" s="3" t="s">
        <v>672</v>
      </c>
      <c r="B15" s="3" t="s">
        <v>752</v>
      </c>
    </row>
    <row r="16" spans="1:2">
      <c r="A16" s="39" t="s">
        <v>673</v>
      </c>
      <c r="B16" s="39" t="s">
        <v>673</v>
      </c>
    </row>
    <row r="17" spans="1:2">
      <c r="A17" s="3" t="s">
        <v>673</v>
      </c>
      <c r="B17" s="3" t="s">
        <v>722</v>
      </c>
    </row>
    <row r="18" spans="1:2">
      <c r="A18" s="86" t="s">
        <v>591</v>
      </c>
      <c r="B18" s="87" t="s">
        <v>591</v>
      </c>
    </row>
    <row r="19" spans="1:2">
      <c r="A19" s="39" t="s">
        <v>591</v>
      </c>
      <c r="B19" s="39" t="s">
        <v>737</v>
      </c>
    </row>
    <row r="20" spans="1:2">
      <c r="A20" s="39" t="s">
        <v>591</v>
      </c>
      <c r="B20" s="39" t="s">
        <v>619</v>
      </c>
    </row>
    <row r="21" spans="1:2">
      <c r="A21" s="86" t="s">
        <v>591</v>
      </c>
      <c r="B21" s="48" t="s">
        <v>637</v>
      </c>
    </row>
    <row r="22" spans="1:2">
      <c r="A22" s="86" t="s">
        <v>591</v>
      </c>
      <c r="B22" s="48" t="s">
        <v>640</v>
      </c>
    </row>
    <row r="23" spans="1:2">
      <c r="A23" s="86" t="s">
        <v>591</v>
      </c>
      <c r="B23" s="48" t="s">
        <v>639</v>
      </c>
    </row>
    <row r="24" spans="1:2">
      <c r="A24" s="39" t="s">
        <v>591</v>
      </c>
      <c r="B24" s="39" t="s">
        <v>734</v>
      </c>
    </row>
    <row r="25" spans="1:2">
      <c r="A25" s="39" t="s">
        <v>591</v>
      </c>
      <c r="B25" s="39" t="s">
        <v>732</v>
      </c>
    </row>
    <row r="26" spans="1:2">
      <c r="A26" s="39" t="s">
        <v>591</v>
      </c>
      <c r="B26" s="39" t="s">
        <v>735</v>
      </c>
    </row>
    <row r="27" spans="1:2">
      <c r="A27" s="39" t="s">
        <v>604</v>
      </c>
      <c r="B27" s="39" t="s">
        <v>617</v>
      </c>
    </row>
    <row r="28" spans="1:2">
      <c r="A28" s="39" t="s">
        <v>604</v>
      </c>
      <c r="B28" s="39" t="s">
        <v>742</v>
      </c>
    </row>
    <row r="29" spans="1:2">
      <c r="A29" s="86" t="s">
        <v>604</v>
      </c>
      <c r="B29" s="48" t="s">
        <v>641</v>
      </c>
    </row>
    <row r="30" spans="1:2">
      <c r="A30" s="39" t="s">
        <v>604</v>
      </c>
      <c r="B30" s="39" t="s">
        <v>632</v>
      </c>
    </row>
    <row r="31" spans="1:2">
      <c r="A31" s="39" t="s">
        <v>604</v>
      </c>
      <c r="B31" s="39" t="s">
        <v>618</v>
      </c>
    </row>
    <row r="32" spans="1:2">
      <c r="A32" s="86" t="s">
        <v>703</v>
      </c>
      <c r="B32" s="48" t="s">
        <v>620</v>
      </c>
    </row>
    <row r="33" spans="1:2">
      <c r="A33" s="86" t="s">
        <v>703</v>
      </c>
      <c r="B33" s="48" t="s">
        <v>622</v>
      </c>
    </row>
    <row r="34" spans="1:2">
      <c r="A34" s="39" t="s">
        <v>703</v>
      </c>
      <c r="B34" s="39" t="s">
        <v>703</v>
      </c>
    </row>
    <row r="35" spans="1:2">
      <c r="A35" s="39" t="s">
        <v>703</v>
      </c>
      <c r="B35" s="39" t="s">
        <v>627</v>
      </c>
    </row>
    <row r="36" spans="1:2">
      <c r="A36" s="86" t="s">
        <v>703</v>
      </c>
      <c r="B36" s="48" t="s">
        <v>647</v>
      </c>
    </row>
    <row r="37" spans="1:2">
      <c r="A37" s="86" t="s">
        <v>703</v>
      </c>
      <c r="B37" s="48" t="s">
        <v>699</v>
      </c>
    </row>
    <row r="38" spans="1:2">
      <c r="A38" s="86" t="s">
        <v>703</v>
      </c>
      <c r="B38" s="87" t="s">
        <v>610</v>
      </c>
    </row>
    <row r="39" spans="1:2">
      <c r="A39" s="39" t="s">
        <v>703</v>
      </c>
      <c r="B39" s="39" t="s">
        <v>645</v>
      </c>
    </row>
    <row r="40" spans="1:2">
      <c r="A40" s="39" t="s">
        <v>703</v>
      </c>
      <c r="B40" s="39" t="s">
        <v>621</v>
      </c>
    </row>
    <row r="41" spans="1:2">
      <c r="A41" s="86" t="s">
        <v>703</v>
      </c>
      <c r="B41" s="48" t="s">
        <v>695</v>
      </c>
    </row>
    <row r="42" spans="1:2">
      <c r="A42" s="86" t="s">
        <v>703</v>
      </c>
      <c r="B42" s="48" t="s">
        <v>697</v>
      </c>
    </row>
    <row r="43" spans="1:2">
      <c r="A43" s="86" t="s">
        <v>703</v>
      </c>
      <c r="B43" s="48" t="s">
        <v>698</v>
      </c>
    </row>
    <row r="44" spans="1:2">
      <c r="A44" s="86" t="s">
        <v>703</v>
      </c>
      <c r="B44" s="48" t="s">
        <v>696</v>
      </c>
    </row>
    <row r="45" spans="1:2">
      <c r="A45" s="86" t="s">
        <v>703</v>
      </c>
      <c r="B45" s="48" t="s">
        <v>694</v>
      </c>
    </row>
    <row r="46" spans="1:2">
      <c r="A46" s="39" t="s">
        <v>703</v>
      </c>
      <c r="B46" s="39" t="s">
        <v>729</v>
      </c>
    </row>
    <row r="47" spans="1:2">
      <c r="A47" s="39" t="s">
        <v>703</v>
      </c>
      <c r="B47" s="39" t="s">
        <v>615</v>
      </c>
    </row>
    <row r="48" spans="1:2">
      <c r="A48" s="39" t="s">
        <v>703</v>
      </c>
      <c r="B48" s="39" t="s">
        <v>730</v>
      </c>
    </row>
    <row r="49" spans="1:2">
      <c r="A49" s="86" t="s">
        <v>703</v>
      </c>
      <c r="B49" s="70" t="s">
        <v>648</v>
      </c>
    </row>
    <row r="50" spans="1:2">
      <c r="A50" s="86" t="s">
        <v>761</v>
      </c>
      <c r="B50" s="48" t="s">
        <v>760</v>
      </c>
    </row>
    <row r="51" spans="1:2">
      <c r="A51" s="39" t="s">
        <v>593</v>
      </c>
      <c r="B51" s="39" t="s">
        <v>633</v>
      </c>
    </row>
    <row r="52" spans="1:2">
      <c r="A52" s="86" t="s">
        <v>593</v>
      </c>
      <c r="B52" s="48" t="s">
        <v>711</v>
      </c>
    </row>
    <row r="53" spans="1:2">
      <c r="A53" s="39" t="s">
        <v>593</v>
      </c>
      <c r="B53" s="39" t="s">
        <v>733</v>
      </c>
    </row>
    <row r="54" spans="1:2">
      <c r="A54" s="39" t="s">
        <v>593</v>
      </c>
      <c r="B54" s="39" t="s">
        <v>635</v>
      </c>
    </row>
    <row r="55" spans="1:2">
      <c r="A55" s="39" t="s">
        <v>593</v>
      </c>
      <c r="B55" s="39" t="s">
        <v>609</v>
      </c>
    </row>
    <row r="56" spans="1:2">
      <c r="A56" s="86" t="s">
        <v>593</v>
      </c>
      <c r="B56" s="48" t="s">
        <v>631</v>
      </c>
    </row>
    <row r="57" spans="1:2">
      <c r="A57" s="86" t="s">
        <v>593</v>
      </c>
      <c r="B57" s="48" t="s">
        <v>700</v>
      </c>
    </row>
    <row r="58" spans="1:2">
      <c r="A58" s="39" t="s">
        <v>593</v>
      </c>
      <c r="B58" s="39" t="s">
        <v>636</v>
      </c>
    </row>
    <row r="59" spans="1:2">
      <c r="A59" s="86" t="s">
        <v>598</v>
      </c>
      <c r="B59" s="48" t="s">
        <v>643</v>
      </c>
    </row>
    <row r="60" spans="1:2">
      <c r="A60" s="86" t="s">
        <v>598</v>
      </c>
      <c r="B60" s="48" t="s">
        <v>642</v>
      </c>
    </row>
    <row r="61" spans="1:2">
      <c r="A61" s="86" t="s">
        <v>598</v>
      </c>
      <c r="B61" s="48" t="s">
        <v>644</v>
      </c>
    </row>
    <row r="62" spans="1:2">
      <c r="A62" s="39" t="s">
        <v>746</v>
      </c>
      <c r="B62" s="39" t="s">
        <v>721</v>
      </c>
    </row>
    <row r="63" spans="1:2">
      <c r="A63" s="39" t="s">
        <v>749</v>
      </c>
      <c r="B63" s="39" t="s">
        <v>643</v>
      </c>
    </row>
    <row r="64" spans="1:2">
      <c r="A64" s="86" t="s">
        <v>706</v>
      </c>
      <c r="B64" s="48" t="s">
        <v>663</v>
      </c>
    </row>
    <row r="65" spans="1:2">
      <c r="A65" s="39" t="s">
        <v>706</v>
      </c>
      <c r="B65" s="39" t="s">
        <v>657</v>
      </c>
    </row>
    <row r="66" spans="1:2">
      <c r="A66" s="86" t="s">
        <v>706</v>
      </c>
      <c r="B66" s="37" t="s">
        <v>701</v>
      </c>
    </row>
    <row r="67" spans="1:2">
      <c r="A67" s="86" t="s">
        <v>706</v>
      </c>
      <c r="B67" s="48" t="s">
        <v>682</v>
      </c>
    </row>
    <row r="68" spans="1:2">
      <c r="A68" s="86" t="s">
        <v>706</v>
      </c>
      <c r="B68" s="48" t="s">
        <v>668</v>
      </c>
    </row>
    <row r="69" spans="1:2">
      <c r="A69" s="86" t="s">
        <v>706</v>
      </c>
      <c r="B69" s="48" t="s">
        <v>661</v>
      </c>
    </row>
    <row r="70" spans="1:2">
      <c r="A70" s="39" t="s">
        <v>706</v>
      </c>
      <c r="B70" s="39" t="s">
        <v>659</v>
      </c>
    </row>
    <row r="71" spans="1:2">
      <c r="A71" s="86" t="s">
        <v>706</v>
      </c>
      <c r="B71" s="48" t="s">
        <v>660</v>
      </c>
    </row>
    <row r="72" spans="1:2">
      <c r="A72" s="48" t="s">
        <v>706</v>
      </c>
      <c r="B72" s="48" t="s">
        <v>670</v>
      </c>
    </row>
    <row r="73" spans="1:2">
      <c r="A73" s="86" t="s">
        <v>706</v>
      </c>
      <c r="B73" s="48" t="s">
        <v>654</v>
      </c>
    </row>
    <row r="74" spans="1:2">
      <c r="A74" s="39" t="s">
        <v>706</v>
      </c>
      <c r="B74" s="39" t="s">
        <v>656</v>
      </c>
    </row>
    <row r="75" spans="1:2">
      <c r="A75" s="48" t="s">
        <v>706</v>
      </c>
      <c r="B75" s="48" t="s">
        <v>669</v>
      </c>
    </row>
    <row r="76" spans="1:2">
      <c r="A76" s="86" t="s">
        <v>706</v>
      </c>
      <c r="B76" s="48" t="s">
        <v>653</v>
      </c>
    </row>
    <row r="77" spans="1:2">
      <c r="A77" s="86" t="s">
        <v>706</v>
      </c>
      <c r="B77" s="37" t="s">
        <v>662</v>
      </c>
    </row>
    <row r="78" spans="1:2">
      <c r="A78" s="39" t="s">
        <v>706</v>
      </c>
      <c r="B78" s="39" t="s">
        <v>728</v>
      </c>
    </row>
    <row r="79" spans="1:2">
      <c r="A79" s="86" t="s">
        <v>706</v>
      </c>
      <c r="B79" s="48" t="s">
        <v>666</v>
      </c>
    </row>
    <row r="80" spans="1:2">
      <c r="A80" s="39" t="s">
        <v>706</v>
      </c>
      <c r="B80" s="39" t="s">
        <v>726</v>
      </c>
    </row>
    <row r="81" spans="1:2">
      <c r="A81" s="39" t="s">
        <v>706</v>
      </c>
      <c r="B81" s="39" t="s">
        <v>727</v>
      </c>
    </row>
    <row r="82" spans="1:2">
      <c r="A82" s="39" t="s">
        <v>706</v>
      </c>
      <c r="B82" s="39" t="s">
        <v>717</v>
      </c>
    </row>
    <row r="83" spans="1:2">
      <c r="A83" s="86" t="s">
        <v>706</v>
      </c>
      <c r="B83" s="48" t="s">
        <v>708</v>
      </c>
    </row>
    <row r="84" spans="1:2">
      <c r="A84" s="39" t="s">
        <v>706</v>
      </c>
      <c r="B84" s="39" t="s">
        <v>745</v>
      </c>
    </row>
    <row r="85" spans="1:2">
      <c r="A85" s="39" t="s">
        <v>709</v>
      </c>
      <c r="B85" s="39" t="s">
        <v>716</v>
      </c>
    </row>
    <row r="86" spans="1:2">
      <c r="A86" s="86" t="s">
        <v>709</v>
      </c>
      <c r="B86" s="48" t="s">
        <v>667</v>
      </c>
    </row>
    <row r="87" spans="1:2">
      <c r="A87" s="39" t="s">
        <v>709</v>
      </c>
      <c r="B87" s="39" t="s">
        <v>714</v>
      </c>
    </row>
    <row r="88" spans="1:2">
      <c r="A88" s="39" t="s">
        <v>709</v>
      </c>
      <c r="B88" s="39" t="s">
        <v>670</v>
      </c>
    </row>
    <row r="89" spans="1:2">
      <c r="A89" s="39" t="s">
        <v>709</v>
      </c>
      <c r="B89" s="39" t="s">
        <v>758</v>
      </c>
    </row>
    <row r="90" spans="1:2">
      <c r="A90" s="39" t="s">
        <v>709</v>
      </c>
      <c r="B90" s="39" t="s">
        <v>745</v>
      </c>
    </row>
    <row r="91" spans="1:2">
      <c r="A91" s="86" t="s">
        <v>709</v>
      </c>
      <c r="B91" s="48" t="s">
        <v>686</v>
      </c>
    </row>
    <row r="92" spans="1:2">
      <c r="A92" s="39" t="s">
        <v>658</v>
      </c>
      <c r="B92" s="39" t="s">
        <v>683</v>
      </c>
    </row>
    <row r="93" spans="1:2">
      <c r="A93" s="39" t="s">
        <v>705</v>
      </c>
      <c r="B93" s="39" t="s">
        <v>713</v>
      </c>
    </row>
    <row r="94" spans="1:2">
      <c r="A94" s="39" t="s">
        <v>705</v>
      </c>
      <c r="B94" s="39" t="s">
        <v>724</v>
      </c>
    </row>
    <row r="95" spans="1:2">
      <c r="A95" s="86" t="s">
        <v>705</v>
      </c>
      <c r="B95" s="48" t="s">
        <v>650</v>
      </c>
    </row>
    <row r="96" spans="1:2">
      <c r="A96" s="86" t="s">
        <v>705</v>
      </c>
      <c r="B96" s="48" t="s">
        <v>651</v>
      </c>
    </row>
    <row r="97" spans="1:2">
      <c r="A97" s="39" t="s">
        <v>715</v>
      </c>
      <c r="B97" s="39" t="s">
        <v>715</v>
      </c>
    </row>
    <row r="98" spans="1:2">
      <c r="A98" s="3" t="s">
        <v>715</v>
      </c>
      <c r="B98" s="3" t="s">
        <v>754</v>
      </c>
    </row>
    <row r="99" spans="1:2">
      <c r="A99" s="86" t="s">
        <v>707</v>
      </c>
      <c r="B99" s="48" t="s">
        <v>707</v>
      </c>
    </row>
    <row r="100" spans="1:2">
      <c r="A100" s="86" t="s">
        <v>707</v>
      </c>
      <c r="B100" s="48" t="s">
        <v>684</v>
      </c>
    </row>
    <row r="101" spans="1:2">
      <c r="A101" s="86" t="s">
        <v>707</v>
      </c>
      <c r="B101" s="48" t="s">
        <v>664</v>
      </c>
    </row>
    <row r="102" spans="1:2">
      <c r="A102" s="86" t="s">
        <v>707</v>
      </c>
      <c r="B102" s="48" t="s">
        <v>655</v>
      </c>
    </row>
    <row r="103" spans="1:2">
      <c r="A103" s="86" t="s">
        <v>707</v>
      </c>
      <c r="B103" s="48" t="s">
        <v>665</v>
      </c>
    </row>
    <row r="104" spans="1:2">
      <c r="A104" s="86" t="s">
        <v>704</v>
      </c>
      <c r="B104" s="48" t="s">
        <v>613</v>
      </c>
    </row>
    <row r="105" spans="1:2">
      <c r="A105" s="39" t="s">
        <v>704</v>
      </c>
      <c r="B105" s="39" t="s">
        <v>614</v>
      </c>
    </row>
    <row r="106" spans="1:2">
      <c r="A106" s="39" t="s">
        <v>704</v>
      </c>
      <c r="B106" s="39" t="s">
        <v>712</v>
      </c>
    </row>
    <row r="107" spans="1:2">
      <c r="A107" s="86" t="s">
        <v>704</v>
      </c>
      <c r="B107" s="48" t="s">
        <v>611</v>
      </c>
    </row>
    <row r="108" spans="1:2">
      <c r="A108" s="39" t="s">
        <v>704</v>
      </c>
      <c r="B108" s="39" t="s">
        <v>612</v>
      </c>
    </row>
    <row r="109" spans="1:2">
      <c r="A109" s="86" t="s">
        <v>704</v>
      </c>
      <c r="B109" s="74" t="s">
        <v>629</v>
      </c>
    </row>
    <row r="110" spans="1:2">
      <c r="A110" s="86" t="s">
        <v>704</v>
      </c>
      <c r="B110" s="48" t="s">
        <v>623</v>
      </c>
    </row>
    <row r="111" spans="1:2">
      <c r="A111" s="86" t="s">
        <v>704</v>
      </c>
      <c r="B111" s="48" t="s">
        <v>624</v>
      </c>
    </row>
    <row r="112" spans="1:2">
      <c r="A112" s="39" t="s">
        <v>704</v>
      </c>
      <c r="B112" s="39" t="s">
        <v>743</v>
      </c>
    </row>
    <row r="113" spans="1:2">
      <c r="A113" s="39" t="s">
        <v>704</v>
      </c>
      <c r="B113" s="39" t="s">
        <v>744</v>
      </c>
    </row>
    <row r="114" spans="1:2">
      <c r="A114" s="39" t="s">
        <v>704</v>
      </c>
      <c r="B114" s="39" t="s">
        <v>664</v>
      </c>
    </row>
    <row r="115" spans="1:2">
      <c r="A115" s="39" t="s">
        <v>704</v>
      </c>
      <c r="B115" s="39" t="s">
        <v>655</v>
      </c>
    </row>
    <row r="116" spans="1:2">
      <c r="A116" s="48" t="s">
        <v>704</v>
      </c>
      <c r="B116" s="48" t="s">
        <v>680</v>
      </c>
    </row>
    <row r="117" spans="1:2">
      <c r="A117" s="39" t="s">
        <v>704</v>
      </c>
      <c r="B117" s="39" t="s">
        <v>691</v>
      </c>
    </row>
    <row r="118" spans="1:2">
      <c r="A118" s="39" t="s">
        <v>704</v>
      </c>
      <c r="B118" s="39" t="s">
        <v>692</v>
      </c>
    </row>
    <row r="119" spans="1:2">
      <c r="A119" s="39" t="s">
        <v>704</v>
      </c>
      <c r="B119" s="39" t="s">
        <v>725</v>
      </c>
    </row>
    <row r="120" spans="1:2">
      <c r="A120" s="39" t="s">
        <v>704</v>
      </c>
      <c r="B120" s="39" t="s">
        <v>679</v>
      </c>
    </row>
    <row r="121" spans="1:2">
      <c r="A121" s="86" t="s">
        <v>704</v>
      </c>
      <c r="B121" s="48" t="s">
        <v>689</v>
      </c>
    </row>
    <row r="122" spans="1:2">
      <c r="A122" s="86" t="s">
        <v>704</v>
      </c>
      <c r="B122" s="48" t="s">
        <v>687</v>
      </c>
    </row>
    <row r="123" spans="1:2">
      <c r="A123" s="39" t="s">
        <v>704</v>
      </c>
      <c r="B123" s="39" t="s">
        <v>723</v>
      </c>
    </row>
    <row r="124" spans="1:2">
      <c r="A124" s="86" t="s">
        <v>704</v>
      </c>
      <c r="B124" s="48" t="s">
        <v>681</v>
      </c>
    </row>
    <row r="125" spans="1:2">
      <c r="A125" s="39" t="s">
        <v>704</v>
      </c>
      <c r="B125" s="39" t="s">
        <v>741</v>
      </c>
    </row>
    <row r="126" spans="1:2">
      <c r="A126" s="39" t="s">
        <v>704</v>
      </c>
      <c r="B126" s="39" t="s">
        <v>765</v>
      </c>
    </row>
    <row r="127" spans="1:2">
      <c r="A127" s="39" t="s">
        <v>704</v>
      </c>
      <c r="B127" s="39" t="s">
        <v>688</v>
      </c>
    </row>
    <row r="128" spans="1:2">
      <c r="A128" s="48" t="s">
        <v>704</v>
      </c>
      <c r="B128" s="48" t="s">
        <v>756</v>
      </c>
    </row>
    <row r="129" spans="1:2">
      <c r="A129" s="48" t="s">
        <v>704</v>
      </c>
      <c r="B129" s="48" t="s">
        <v>678</v>
      </c>
    </row>
    <row r="130" spans="1:2">
      <c r="A130" s="39" t="s">
        <v>704</v>
      </c>
      <c r="B130" s="39" t="s">
        <v>690</v>
      </c>
    </row>
    <row r="131" spans="1:2">
      <c r="A131" s="39" t="s">
        <v>704</v>
      </c>
      <c r="B131" s="39" t="s">
        <v>693</v>
      </c>
    </row>
  </sheetData>
  <sortState ref="A1:C302">
    <sortCondition ref="A1:A302"/>
    <sortCondition ref="B1:B302"/>
  </sortState>
  <phoneticPr fontId="22" type="noConversion"/>
  <pageMargins left="0.75" right="0.75" top="1" bottom="1" header="0.5" footer="0.5"/>
  <pageSetup scale="96" fitToHeight="3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Charts</vt:lpstr>
      </vt:variant>
      <vt:variant>
        <vt:i4>1</vt:i4>
      </vt:variant>
    </vt:vector>
  </HeadingPairs>
  <TitlesOfParts>
    <vt:vector size="11" baseType="lpstr">
      <vt:lpstr>NH3</vt:lpstr>
      <vt:lpstr>N2O</vt:lpstr>
      <vt:lpstr>NOX</vt:lpstr>
      <vt:lpstr>NO</vt:lpstr>
      <vt:lpstr>NO2</vt:lpstr>
      <vt:lpstr>CoverTypes</vt:lpstr>
      <vt:lpstr>NO,NO2,NOX</vt:lpstr>
      <vt:lpstr>Pubs</vt:lpstr>
      <vt:lpstr>Sheet1</vt:lpstr>
      <vt:lpstr>NitrogenSpecies Refs</vt:lpstr>
      <vt:lpstr>Chart1</vt:lpstr>
    </vt:vector>
  </TitlesOfParts>
  <Company>USFS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O'Neill</dc:creator>
  <cp:lastModifiedBy>Susan O'Neill</cp:lastModifiedBy>
  <cp:lastPrinted>2017-06-22T23:00:33Z</cp:lastPrinted>
  <dcterms:created xsi:type="dcterms:W3CDTF">2017-02-20T23:48:59Z</dcterms:created>
  <dcterms:modified xsi:type="dcterms:W3CDTF">2017-08-08T17:10:08Z</dcterms:modified>
</cp:coreProperties>
</file>